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defaultThemeVersion="124226"/>
  <bookViews>
    <workbookView xWindow="10080" yWindow="2190" windowWidth="17955" windowHeight="6195" tabRatio="902" activeTab="5"/>
  </bookViews>
  <sheets>
    <sheet name="ФОТ " sheetId="18" r:id="rId1"/>
    <sheet name="Разд 3-4" sheetId="8" r:id="rId2"/>
    <sheet name="Разд 5-7" sheetId="10" r:id="rId3"/>
    <sheet name="Разд 8" sheetId="17" r:id="rId4"/>
    <sheet name="Тарифы на отд.виды услуг" sheetId="20" r:id="rId5"/>
    <sheet name="Сводная по тарифам на " sheetId="19" r:id="rId6"/>
    <sheet name="Площади помещений" sheetId="14" r:id="rId7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4" l="1"/>
  <c r="H12" i="14"/>
  <c r="H11" i="14"/>
  <c r="E18" i="19"/>
  <c r="B65" i="20"/>
  <c r="B64" i="20"/>
  <c r="B63" i="20"/>
  <c r="B62" i="20"/>
  <c r="B61" i="20"/>
  <c r="B60" i="20"/>
  <c r="E34" i="17"/>
  <c r="D34" i="10"/>
  <c r="F36" i="10"/>
  <c r="F26" i="10"/>
  <c r="G26" i="10"/>
  <c r="G40" i="8"/>
  <c r="I23" i="8"/>
  <c r="I24" i="8"/>
  <c r="G16" i="18"/>
  <c r="D16" i="18" s="1"/>
  <c r="H16" i="18" s="1"/>
  <c r="G17" i="18"/>
  <c r="D17" i="18" s="1"/>
  <c r="H17" i="18" s="1"/>
  <c r="G18" i="18"/>
  <c r="D18" i="18" s="1"/>
  <c r="H18" i="18" s="1"/>
  <c r="G19" i="18"/>
  <c r="D19" i="18" s="1"/>
  <c r="H19" i="18" s="1"/>
  <c r="G20" i="18"/>
  <c r="D20" i="18" s="1"/>
  <c r="H20" i="18" s="1"/>
  <c r="G21" i="18"/>
  <c r="D21" i="18" s="1"/>
  <c r="H21" i="18" s="1"/>
  <c r="G22" i="18"/>
  <c r="D22" i="18" s="1"/>
  <c r="H22" i="18" s="1"/>
  <c r="G8" i="18"/>
  <c r="D8" i="18" s="1"/>
  <c r="H8" i="18" s="1"/>
  <c r="G9" i="18"/>
  <c r="D9" i="18" s="1"/>
  <c r="H9" i="18" s="1"/>
  <c r="G10" i="18"/>
  <c r="D10" i="18" s="1"/>
  <c r="H10" i="18" s="1"/>
  <c r="G11" i="18"/>
  <c r="D11" i="18" s="1"/>
  <c r="H11" i="18" s="1"/>
  <c r="G12" i="18"/>
  <c r="D12" i="18" s="1"/>
  <c r="H12" i="18" s="1"/>
  <c r="G13" i="18"/>
  <c r="D13" i="18" s="1"/>
  <c r="H13" i="18" s="1"/>
  <c r="G14" i="18"/>
  <c r="D14" i="18" s="1"/>
  <c r="H14" i="18" s="1"/>
  <c r="G7" i="18"/>
  <c r="D7" i="18" s="1"/>
  <c r="H7" i="18" l="1"/>
  <c r="I7" i="18" s="1"/>
  <c r="E30" i="17"/>
  <c r="G30" i="17" s="1"/>
  <c r="E31" i="17"/>
  <c r="G31" i="17" s="1"/>
  <c r="E25" i="17"/>
  <c r="G25" i="17" s="1"/>
  <c r="E20" i="17"/>
  <c r="E21" i="17"/>
  <c r="G21" i="17" s="1"/>
  <c r="M21" i="19"/>
  <c r="O21" i="19" s="1"/>
  <c r="Q21" i="19" s="1"/>
  <c r="S21" i="19" s="1"/>
  <c r="U21" i="19" s="1"/>
  <c r="E36" i="17"/>
  <c r="F35" i="17"/>
  <c r="G36" i="17"/>
  <c r="P21" i="19" s="1"/>
  <c r="J7" i="18" l="1"/>
  <c r="K7" i="18"/>
  <c r="G20" i="17"/>
  <c r="C49" i="20"/>
  <c r="C48" i="20"/>
  <c r="C47" i="20"/>
  <c r="C46" i="20"/>
  <c r="C45" i="20"/>
  <c r="C40" i="20"/>
  <c r="C39" i="20"/>
  <c r="C38" i="20"/>
  <c r="C37" i="20"/>
  <c r="C36" i="20"/>
  <c r="C44" i="20"/>
  <c r="C35" i="20"/>
  <c r="C34" i="20"/>
  <c r="C43" i="20"/>
  <c r="C33" i="20"/>
  <c r="L7" i="18" l="1"/>
  <c r="F23" i="18"/>
  <c r="F15" i="18"/>
  <c r="E23" i="18"/>
  <c r="E15" i="18"/>
  <c r="G15" i="18" l="1"/>
  <c r="D15" i="18" s="1"/>
  <c r="C50" i="20"/>
  <c r="H15" i="18" l="1"/>
  <c r="D23" i="18"/>
  <c r="E62" i="20" l="1"/>
  <c r="E61" i="20"/>
  <c r="D65" i="20"/>
  <c r="D64" i="20"/>
  <c r="D63" i="20"/>
  <c r="D62" i="20"/>
  <c r="D61" i="20"/>
  <c r="D60" i="20"/>
  <c r="C65" i="20"/>
  <c r="C64" i="20"/>
  <c r="C63" i="20"/>
  <c r="C62" i="20"/>
  <c r="C61" i="20"/>
  <c r="C60" i="20"/>
  <c r="C66" i="20" l="1"/>
  <c r="G12" i="17"/>
  <c r="G11" i="17"/>
  <c r="G10" i="17"/>
  <c r="G7" i="17"/>
  <c r="E60" i="20" l="1"/>
  <c r="C21" i="19"/>
  <c r="E21" i="19" s="1"/>
  <c r="E63" i="20"/>
  <c r="H21" i="19"/>
  <c r="J21" i="19" s="1"/>
  <c r="L21" i="19" s="1"/>
  <c r="E64" i="20"/>
  <c r="K21" i="19"/>
  <c r="E65" i="20"/>
  <c r="I21" i="18" l="1"/>
  <c r="I20" i="18"/>
  <c r="K20" i="18" s="1"/>
  <c r="D17" i="20" s="1"/>
  <c r="K21" i="18" l="1"/>
  <c r="D19" i="20" s="1"/>
  <c r="J21" i="18"/>
  <c r="C19" i="20" s="1"/>
  <c r="J20" i="18"/>
  <c r="C17" i="20" s="1"/>
  <c r="I34" i="8"/>
  <c r="D9" i="8" s="1"/>
  <c r="L20" i="18" l="1"/>
  <c r="P20" i="18" s="1"/>
  <c r="Q20" i="18" s="1"/>
  <c r="E17" i="20" s="1"/>
  <c r="D10" i="19" s="1"/>
  <c r="L21" i="18"/>
  <c r="P21" i="18" s="1"/>
  <c r="Q21" i="18" s="1"/>
  <c r="E19" i="20" s="1"/>
  <c r="D12" i="19" s="1"/>
  <c r="D49" i="20"/>
  <c r="D48" i="20"/>
  <c r="D47" i="20"/>
  <c r="D46" i="20"/>
  <c r="D45" i="20"/>
  <c r="D44" i="20"/>
  <c r="D43" i="20"/>
  <c r="D40" i="20"/>
  <c r="D39" i="20"/>
  <c r="D38" i="20"/>
  <c r="D37" i="20"/>
  <c r="D36" i="20"/>
  <c r="D35" i="20"/>
  <c r="D34" i="20"/>
  <c r="D33" i="20"/>
  <c r="B51" i="20"/>
  <c r="U12" i="19" l="1"/>
  <c r="Q12" i="19"/>
  <c r="S12" i="19"/>
  <c r="I12" i="19"/>
  <c r="L12" i="19" s="1"/>
  <c r="N12" i="19" s="1"/>
  <c r="U10" i="19"/>
  <c r="Q10" i="19"/>
  <c r="L10" i="19"/>
  <c r="S10" i="19"/>
  <c r="N10" i="19"/>
  <c r="I10" i="19"/>
  <c r="D43" i="10" l="1"/>
  <c r="D44" i="10" s="1"/>
  <c r="D22" i="10"/>
  <c r="B32" i="20" l="1"/>
  <c r="C31" i="20"/>
  <c r="C30" i="20"/>
  <c r="D30" i="20" s="1"/>
  <c r="D31" i="20" l="1"/>
  <c r="O18" i="19"/>
  <c r="G15" i="19"/>
  <c r="I13" i="18" l="1"/>
  <c r="I14" i="18"/>
  <c r="I22" i="18"/>
  <c r="I16" i="18"/>
  <c r="I10" i="18" l="1"/>
  <c r="I11" i="18"/>
  <c r="I12" i="18"/>
  <c r="K22" i="18"/>
  <c r="J22" i="18"/>
  <c r="C21" i="20" s="1"/>
  <c r="D21" i="20" s="1"/>
  <c r="I8" i="18"/>
  <c r="I9" i="18" l="1"/>
  <c r="I17" i="18"/>
  <c r="I18" i="18"/>
  <c r="I19" i="18"/>
  <c r="L22" i="18"/>
  <c r="J16" i="18"/>
  <c r="C15" i="20" s="1"/>
  <c r="D15" i="20" s="1"/>
  <c r="K16" i="18"/>
  <c r="J14" i="18"/>
  <c r="C14" i="20" s="1"/>
  <c r="D14" i="20" s="1"/>
  <c r="K14" i="18"/>
  <c r="J12" i="18"/>
  <c r="C12" i="20" s="1"/>
  <c r="D12" i="20" s="1"/>
  <c r="K12" i="18"/>
  <c r="J10" i="18"/>
  <c r="C10" i="20" s="1"/>
  <c r="D10" i="20" s="1"/>
  <c r="K10" i="18"/>
  <c r="J8" i="18"/>
  <c r="K11" i="18"/>
  <c r="J11" i="18"/>
  <c r="C11" i="20" s="1"/>
  <c r="D11" i="20" s="1"/>
  <c r="J17" i="18" l="1"/>
  <c r="C16" i="20" s="1"/>
  <c r="I23" i="18"/>
  <c r="C8" i="20"/>
  <c r="D8" i="20" s="1"/>
  <c r="J9" i="18"/>
  <c r="C9" i="20" s="1"/>
  <c r="D9" i="20" s="1"/>
  <c r="K9" i="18"/>
  <c r="K19" i="18"/>
  <c r="J19" i="18"/>
  <c r="C20" i="20" s="1"/>
  <c r="D20" i="20" s="1"/>
  <c r="K17" i="18"/>
  <c r="H23" i="18"/>
  <c r="G23" i="18"/>
  <c r="L10" i="18"/>
  <c r="L16" i="18"/>
  <c r="L14" i="18"/>
  <c r="L12" i="18"/>
  <c r="L8" i="18"/>
  <c r="L11" i="18"/>
  <c r="L9" i="18" l="1"/>
  <c r="L17" i="18"/>
  <c r="D16" i="20"/>
  <c r="L19" i="18"/>
  <c r="F42" i="10"/>
  <c r="G42" i="10" s="1"/>
  <c r="U19" i="19" s="1"/>
  <c r="F41" i="10"/>
  <c r="G41" i="10" s="1"/>
  <c r="S19" i="19" s="1"/>
  <c r="F40" i="10"/>
  <c r="G40" i="10" s="1"/>
  <c r="Q19" i="19" s="1"/>
  <c r="F39" i="10"/>
  <c r="G39" i="10" s="1"/>
  <c r="N19" i="19" s="1"/>
  <c r="F38" i="10"/>
  <c r="G38" i="10" s="1"/>
  <c r="L19" i="19" s="1"/>
  <c r="F37" i="10"/>
  <c r="G37" i="10" s="1"/>
  <c r="I19" i="19" s="1"/>
  <c r="G36" i="10"/>
  <c r="D19" i="19" s="1"/>
  <c r="F33" i="10"/>
  <c r="G33" i="10" s="1"/>
  <c r="T19" i="19" s="1"/>
  <c r="F32" i="10"/>
  <c r="G32" i="10" s="1"/>
  <c r="R19" i="19" s="1"/>
  <c r="F31" i="10"/>
  <c r="G31" i="10" s="1"/>
  <c r="P19" i="19" s="1"/>
  <c r="F30" i="10"/>
  <c r="G30" i="10" s="1"/>
  <c r="F29" i="10"/>
  <c r="G29" i="10" s="1"/>
  <c r="K19" i="19" s="1"/>
  <c r="F28" i="10"/>
  <c r="G28" i="10" s="1"/>
  <c r="H19" i="19" s="1"/>
  <c r="F27" i="10"/>
  <c r="G27" i="10" s="1"/>
  <c r="F19" i="19" s="1"/>
  <c r="C19" i="19" l="1"/>
  <c r="E33" i="20"/>
  <c r="O19" i="19"/>
  <c r="M19" i="19"/>
  <c r="E43" i="20"/>
  <c r="E19" i="19"/>
  <c r="G19" i="19"/>
  <c r="E34" i="20"/>
  <c r="J19" i="19"/>
  <c r="E35" i="20"/>
  <c r="E37" i="20"/>
  <c r="E39" i="20"/>
  <c r="E44" i="20"/>
  <c r="E46" i="20"/>
  <c r="E48" i="20"/>
  <c r="E36" i="20"/>
  <c r="E38" i="20"/>
  <c r="E40" i="20"/>
  <c r="E45" i="20"/>
  <c r="E47" i="20"/>
  <c r="E49" i="20"/>
  <c r="C7" i="20"/>
  <c r="I25" i="8"/>
  <c r="D8" i="8" s="1"/>
  <c r="C26" i="20" s="1"/>
  <c r="D26" i="20" s="1"/>
  <c r="D7" i="20" l="1"/>
  <c r="M19" i="18" l="1"/>
  <c r="P19" i="18" s="1"/>
  <c r="Q19" i="18" s="1"/>
  <c r="D45" i="17"/>
  <c r="C58" i="20" s="1"/>
  <c r="D58" i="20" s="1"/>
  <c r="D41" i="17"/>
  <c r="D37" i="17"/>
  <c r="D32" i="17"/>
  <c r="D27" i="17"/>
  <c r="D22" i="17"/>
  <c r="D17" i="17"/>
  <c r="F43" i="17"/>
  <c r="F39" i="17"/>
  <c r="F34" i="17"/>
  <c r="G34" i="17" s="1"/>
  <c r="F29" i="17"/>
  <c r="F24" i="17"/>
  <c r="F19" i="17"/>
  <c r="F15" i="17"/>
  <c r="E16" i="17"/>
  <c r="E19" i="17"/>
  <c r="E24" i="17"/>
  <c r="E26" i="17"/>
  <c r="E29" i="17"/>
  <c r="E35" i="17"/>
  <c r="G35" i="17" s="1"/>
  <c r="E39" i="17"/>
  <c r="E40" i="17"/>
  <c r="E43" i="17"/>
  <c r="E44" i="17"/>
  <c r="E15" i="17"/>
  <c r="D6" i="17"/>
  <c r="D13" i="17" s="1"/>
  <c r="G43" i="17" l="1"/>
  <c r="F32" i="17"/>
  <c r="F40" i="17"/>
  <c r="F41" i="17" s="1"/>
  <c r="F37" i="17"/>
  <c r="F44" i="17"/>
  <c r="F45" i="17" s="1"/>
  <c r="E32" i="17"/>
  <c r="E20" i="20"/>
  <c r="F11" i="19"/>
  <c r="E45" i="17"/>
  <c r="E17" i="17"/>
  <c r="C51" i="20"/>
  <c r="E22" i="17"/>
  <c r="C57" i="20"/>
  <c r="D57" i="20" s="1"/>
  <c r="C55" i="20"/>
  <c r="D55" i="20" s="1"/>
  <c r="C56" i="20"/>
  <c r="D56" i="20" s="1"/>
  <c r="C53" i="20"/>
  <c r="D53" i="20" s="1"/>
  <c r="C52" i="20"/>
  <c r="D52" i="20" s="1"/>
  <c r="C54" i="20"/>
  <c r="D54" i="20" s="1"/>
  <c r="E27" i="17"/>
  <c r="E41" i="17"/>
  <c r="E37" i="17"/>
  <c r="F16" i="17"/>
  <c r="G16" i="17" s="1"/>
  <c r="G19" i="17"/>
  <c r="F22" i="17"/>
  <c r="F26" i="17"/>
  <c r="F27" i="17" s="1"/>
  <c r="G39" i="17"/>
  <c r="G24" i="17"/>
  <c r="G29" i="17"/>
  <c r="G15" i="17"/>
  <c r="G26" i="17" l="1"/>
  <c r="G32" i="17"/>
  <c r="E55" i="20" s="1"/>
  <c r="C59" i="20"/>
  <c r="G17" i="17"/>
  <c r="E52" i="20" s="1"/>
  <c r="F17" i="17"/>
  <c r="G37" i="17"/>
  <c r="E56" i="20" s="1"/>
  <c r="G44" i="17"/>
  <c r="G45" i="17" s="1"/>
  <c r="E58" i="20" s="1"/>
  <c r="G40" i="17"/>
  <c r="G41" i="17" s="1"/>
  <c r="E57" i="20" s="1"/>
  <c r="D51" i="20"/>
  <c r="G22" i="17"/>
  <c r="E53" i="20" s="1"/>
  <c r="D20" i="19" l="1"/>
  <c r="I20" i="19"/>
  <c r="N20" i="19"/>
  <c r="S20" i="19"/>
  <c r="Q20" i="19"/>
  <c r="U20" i="19"/>
  <c r="G27" i="17"/>
  <c r="E54" i="20" s="1"/>
  <c r="D17" i="8"/>
  <c r="D21" i="8" s="1"/>
  <c r="D18" i="14"/>
  <c r="L20" i="19" l="1"/>
  <c r="F6" i="10"/>
  <c r="G6" i="10"/>
  <c r="F16" i="10" l="1"/>
  <c r="F13" i="10"/>
  <c r="F12" i="10"/>
  <c r="F17" i="10" l="1"/>
  <c r="E5" i="10" s="1"/>
  <c r="E7" i="10" l="1"/>
  <c r="C29" i="20"/>
  <c r="D39" i="8"/>
  <c r="C28" i="20" s="1"/>
  <c r="D29" i="20" l="1"/>
  <c r="D28" i="20"/>
  <c r="D28" i="8"/>
  <c r="D27" i="8"/>
  <c r="D34" i="8" l="1"/>
  <c r="D6" i="8"/>
  <c r="C24" i="20" s="1"/>
  <c r="D24" i="20" l="1"/>
  <c r="C27" i="20"/>
  <c r="D27" i="20" s="1"/>
  <c r="G19" i="14"/>
  <c r="H17" i="14"/>
  <c r="E25" i="10" s="1"/>
  <c r="D32" i="20" s="1"/>
  <c r="H16" i="14"/>
  <c r="H15" i="14"/>
  <c r="F13" i="14"/>
  <c r="H13" i="14" s="1"/>
  <c r="E19" i="14"/>
  <c r="E39" i="8"/>
  <c r="O18" i="18" l="1"/>
  <c r="O7" i="18"/>
  <c r="O8" i="18" s="1"/>
  <c r="O9" i="18" s="1"/>
  <c r="C32" i="20"/>
  <c r="C41" i="20" s="1"/>
  <c r="H18" i="14"/>
  <c r="D19" i="14"/>
  <c r="F39" i="8"/>
  <c r="F5" i="10"/>
  <c r="F7" i="10" s="1"/>
  <c r="H6" i="10"/>
  <c r="F19" i="14"/>
  <c r="E8" i="8"/>
  <c r="E9" i="8"/>
  <c r="E6" i="8"/>
  <c r="G39" i="8" l="1"/>
  <c r="E30" i="20"/>
  <c r="F16" i="19"/>
  <c r="N18" i="18"/>
  <c r="N22" i="18"/>
  <c r="N7" i="18"/>
  <c r="N8" i="18" s="1"/>
  <c r="N9" i="18" s="1"/>
  <c r="O11" i="18"/>
  <c r="O12" i="18" s="1"/>
  <c r="O13" i="18" s="1"/>
  <c r="O14" i="18" s="1"/>
  <c r="O10" i="18"/>
  <c r="M22" i="18"/>
  <c r="P22" i="18" s="1"/>
  <c r="M17" i="18"/>
  <c r="P17" i="18" s="1"/>
  <c r="Q17" i="18" s="1"/>
  <c r="M18" i="18"/>
  <c r="M16" i="18"/>
  <c r="P16" i="18" s="1"/>
  <c r="Q16" i="18" s="1"/>
  <c r="E15" i="20" s="1"/>
  <c r="C8" i="19" s="1"/>
  <c r="M7" i="18"/>
  <c r="F25" i="10"/>
  <c r="H19" i="14"/>
  <c r="G41" i="8" l="1"/>
  <c r="D15" i="19" s="1"/>
  <c r="E28" i="20"/>
  <c r="E16" i="20"/>
  <c r="C9" i="19" s="1"/>
  <c r="G11" i="19"/>
  <c r="S15" i="19"/>
  <c r="N15" i="19"/>
  <c r="U15" i="19"/>
  <c r="Q15" i="19"/>
  <c r="I15" i="19"/>
  <c r="L15" i="19" s="1"/>
  <c r="R8" i="19"/>
  <c r="F8" i="19"/>
  <c r="K8" i="19"/>
  <c r="M8" i="19"/>
  <c r="P8" i="19"/>
  <c r="T8" i="19"/>
  <c r="H8" i="19"/>
  <c r="G25" i="10"/>
  <c r="R18" i="19" s="1"/>
  <c r="G16" i="19"/>
  <c r="Q22" i="18"/>
  <c r="M8" i="18"/>
  <c r="P7" i="18"/>
  <c r="N11" i="18"/>
  <c r="N12" i="18" s="1"/>
  <c r="N13" i="18" s="1"/>
  <c r="N14" i="18" s="1"/>
  <c r="N10" i="18"/>
  <c r="F6" i="17"/>
  <c r="E21" i="10"/>
  <c r="F6" i="8"/>
  <c r="G5" i="10"/>
  <c r="H5" i="10" s="1"/>
  <c r="H7" i="10" s="1"/>
  <c r="T9" i="19" l="1"/>
  <c r="M9" i="19"/>
  <c r="K9" i="19"/>
  <c r="E32" i="20"/>
  <c r="P9" i="19"/>
  <c r="H9" i="19"/>
  <c r="R9" i="19"/>
  <c r="F7" i="8"/>
  <c r="F8" i="8" s="1"/>
  <c r="F9" i="8" s="1"/>
  <c r="G9" i="8" s="1"/>
  <c r="E27" i="20" s="1"/>
  <c r="G6" i="8"/>
  <c r="G6" i="17"/>
  <c r="E21" i="20"/>
  <c r="C13" i="19" s="1"/>
  <c r="S18" i="19"/>
  <c r="Q7" i="18"/>
  <c r="E7" i="20" s="1"/>
  <c r="E29" i="20"/>
  <c r="C16" i="19"/>
  <c r="M9" i="18"/>
  <c r="P8" i="18"/>
  <c r="Q8" i="18" s="1"/>
  <c r="E8" i="20" s="1"/>
  <c r="F21" i="10"/>
  <c r="G21" i="10" s="1"/>
  <c r="G22" i="10" s="1"/>
  <c r="G8" i="8" l="1"/>
  <c r="E26" i="20" s="1"/>
  <c r="E51" i="20"/>
  <c r="C20" i="19"/>
  <c r="T20" i="19" s="1"/>
  <c r="E24" i="20"/>
  <c r="T13" i="19"/>
  <c r="U13" i="19" s="1"/>
  <c r="R13" i="19"/>
  <c r="S13" i="19" s="1"/>
  <c r="D13" i="19"/>
  <c r="E13" i="19" s="1"/>
  <c r="F13" i="19" s="1"/>
  <c r="U16" i="19"/>
  <c r="H16" i="19"/>
  <c r="D16" i="19"/>
  <c r="L16" i="19"/>
  <c r="E16" i="19"/>
  <c r="Q16" i="19"/>
  <c r="I16" i="19"/>
  <c r="E31" i="20"/>
  <c r="C17" i="19"/>
  <c r="M11" i="18"/>
  <c r="M10" i="18"/>
  <c r="P10" i="18" s="1"/>
  <c r="Q10" i="18" s="1"/>
  <c r="E10" i="20" s="1"/>
  <c r="P9" i="18"/>
  <c r="Q9" i="18" s="1"/>
  <c r="E9" i="20" s="1"/>
  <c r="H20" i="19" l="1"/>
  <c r="R20" i="19"/>
  <c r="K20" i="19"/>
  <c r="M20" i="19"/>
  <c r="P20" i="19"/>
  <c r="G13" i="19"/>
  <c r="H13" i="19"/>
  <c r="M16" i="19"/>
  <c r="K16" i="19"/>
  <c r="P16" i="19"/>
  <c r="H17" i="19"/>
  <c r="O17" i="19" s="1"/>
  <c r="P17" i="19"/>
  <c r="E17" i="19"/>
  <c r="J17" i="19" s="1"/>
  <c r="R17" i="19"/>
  <c r="T17" i="19"/>
  <c r="M17" i="19"/>
  <c r="K17" i="19"/>
  <c r="T16" i="19"/>
  <c r="J16" i="19"/>
  <c r="M12" i="18"/>
  <c r="P11" i="18"/>
  <c r="Q11" i="18" s="1"/>
  <c r="E11" i="20" s="1"/>
  <c r="M13" i="19" l="1"/>
  <c r="N13" i="19" s="1"/>
  <c r="O13" i="19" s="1"/>
  <c r="P13" i="19" s="1"/>
  <c r="Q13" i="19" s="1"/>
  <c r="I13" i="19"/>
  <c r="J13" i="19" s="1"/>
  <c r="K13" i="19" s="1"/>
  <c r="L13" i="19" s="1"/>
  <c r="O16" i="19"/>
  <c r="N16" i="19"/>
  <c r="P12" i="18"/>
  <c r="Q12" i="18" s="1"/>
  <c r="E12" i="20" s="1"/>
  <c r="M13" i="18"/>
  <c r="M14" i="18" s="1"/>
  <c r="P14" i="18" s="1"/>
  <c r="Q14" i="18" s="1"/>
  <c r="E14" i="20" s="1"/>
  <c r="S16" i="19" l="1"/>
  <c r="R16" i="19"/>
  <c r="D7" i="8" l="1"/>
  <c r="C25" i="20" s="1"/>
  <c r="D25" i="20" l="1"/>
  <c r="E7" i="8"/>
  <c r="D10" i="8"/>
  <c r="G7" i="8" l="1"/>
  <c r="E25" i="20" s="1"/>
  <c r="E10" i="8"/>
  <c r="G10" i="8" l="1"/>
  <c r="C14" i="19" l="1"/>
  <c r="T14" i="19" l="1"/>
  <c r="R14" i="19"/>
  <c r="D14" i="19"/>
  <c r="M14" i="19"/>
  <c r="N14" i="19" l="1"/>
  <c r="E14" i="19"/>
  <c r="S14" i="19"/>
  <c r="U14" i="19"/>
  <c r="F14" i="19" l="1"/>
  <c r="O14" i="19"/>
  <c r="P14" i="19" l="1"/>
  <c r="H14" i="19"/>
  <c r="G14" i="19"/>
  <c r="I14" i="19" l="1"/>
  <c r="Q14" i="19"/>
  <c r="J14" i="19" l="1"/>
  <c r="K14" i="19" l="1"/>
  <c r="J13" i="18"/>
  <c r="J15" i="18" s="1"/>
  <c r="C13" i="20" l="1"/>
  <c r="L14" i="19"/>
  <c r="K13" i="18"/>
  <c r="K15" i="18" s="1"/>
  <c r="D13" i="20" l="1"/>
  <c r="L15" i="18"/>
  <c r="L13" i="18"/>
  <c r="I15" i="18" l="1"/>
  <c r="P13" i="18"/>
  <c r="J18" i="18"/>
  <c r="C18" i="20" l="1"/>
  <c r="J23" i="18"/>
  <c r="Q13" i="18"/>
  <c r="P15" i="18"/>
  <c r="K18" i="18"/>
  <c r="D18" i="20" s="1"/>
  <c r="L18" i="18" l="1"/>
  <c r="L23" i="18" s="1"/>
  <c r="K23" i="18"/>
  <c r="Q15" i="18"/>
  <c r="C7" i="19" s="1"/>
  <c r="E13" i="20"/>
  <c r="P18" i="18" l="1"/>
  <c r="Q18" i="18" s="1"/>
  <c r="C11" i="19" s="1"/>
  <c r="C22" i="19" s="1"/>
  <c r="T7" i="19"/>
  <c r="D7" i="19"/>
  <c r="R7" i="19"/>
  <c r="P23" i="18" l="1"/>
  <c r="E7" i="19"/>
  <c r="S7" i="19"/>
  <c r="U7" i="19"/>
  <c r="E18" i="20"/>
  <c r="Q23" i="18"/>
  <c r="F7" i="19" l="1"/>
  <c r="F22" i="19" s="1"/>
  <c r="G7" i="19" l="1"/>
  <c r="H7" i="19"/>
  <c r="F26" i="19"/>
  <c r="D11" i="19"/>
  <c r="E11" i="19"/>
  <c r="E22" i="19" s="1"/>
  <c r="U11" i="19"/>
  <c r="S11" i="19"/>
  <c r="S22" i="19" s="1"/>
  <c r="I11" i="19"/>
  <c r="C26" i="19"/>
  <c r="G22" i="19" l="1"/>
  <c r="G26" i="19" s="1"/>
  <c r="U22" i="19"/>
  <c r="U26" i="19" s="1"/>
  <c r="D22" i="19"/>
  <c r="D26" i="19" s="1"/>
  <c r="T11" i="19"/>
  <c r="S26" i="19"/>
  <c r="H11" i="19"/>
  <c r="J11" i="19" s="1"/>
  <c r="L11" i="19" s="1"/>
  <c r="M11" i="19" s="1"/>
  <c r="O11" i="19" s="1"/>
  <c r="Q11" i="19" s="1"/>
  <c r="R11" i="19" s="1"/>
  <c r="E26" i="19"/>
  <c r="N11" i="19"/>
  <c r="P11" i="19" s="1"/>
  <c r="K11" i="19"/>
  <c r="I7" i="19"/>
  <c r="I22" i="19" s="1"/>
  <c r="H22" i="19" l="1"/>
  <c r="H26" i="19" s="1"/>
  <c r="R22" i="19"/>
  <c r="R26" i="19" s="1"/>
  <c r="T22" i="19"/>
  <c r="T26" i="19" s="1"/>
  <c r="J7" i="19"/>
  <c r="J22" i="19" s="1"/>
  <c r="I26" i="19"/>
  <c r="K7" i="19" l="1"/>
  <c r="K22" i="19" s="1"/>
  <c r="J26" i="19"/>
  <c r="L7" i="19" l="1"/>
  <c r="L22" i="19" s="1"/>
  <c r="K26" i="19"/>
  <c r="M7" i="19" l="1"/>
  <c r="M22" i="19" s="1"/>
  <c r="L26" i="19"/>
  <c r="N7" i="19" l="1"/>
  <c r="N22" i="19" s="1"/>
  <c r="M26" i="19"/>
  <c r="O7" i="19" l="1"/>
  <c r="O22" i="19" s="1"/>
  <c r="N26" i="19"/>
  <c r="P7" i="19" l="1"/>
  <c r="P22" i="19" s="1"/>
  <c r="O26" i="19"/>
  <c r="Q7" i="19" l="1"/>
  <c r="P26" i="19"/>
  <c r="Q22" i="19" l="1"/>
  <c r="Q26" i="19" s="1"/>
</calcChain>
</file>

<file path=xl/sharedStrings.xml><?xml version="1.0" encoding="utf-8"?>
<sst xmlns="http://schemas.openxmlformats.org/spreadsheetml/2006/main" count="333" uniqueCount="281">
  <si>
    <t>Услуги специализированных организаций</t>
  </si>
  <si>
    <t>услуги банка</t>
  </si>
  <si>
    <t>в месяц</t>
  </si>
  <si>
    <t>в год</t>
  </si>
  <si>
    <t>Итого</t>
  </si>
  <si>
    <t>зарплата управляющего</t>
  </si>
  <si>
    <t xml:space="preserve">запрлата слесаря-сантехника </t>
  </si>
  <si>
    <t>уборка помещения офиса</t>
  </si>
  <si>
    <t>непредвиденные расходы</t>
  </si>
  <si>
    <t>Прочие расходы</t>
  </si>
  <si>
    <t>В год</t>
  </si>
  <si>
    <t>Общая S  парковок</t>
  </si>
  <si>
    <t>зарплата инженера сетей (0,5 )</t>
  </si>
  <si>
    <t>зарпалата электрика (0,5 )</t>
  </si>
  <si>
    <t>зарплата паспортиста (0,2 )</t>
  </si>
  <si>
    <t>зарплата кассира (0,5 )</t>
  </si>
  <si>
    <t>общая S всех помещений</t>
  </si>
  <si>
    <t xml:space="preserve">В год </t>
  </si>
  <si>
    <t>с 1  м2 в месяц</t>
  </si>
  <si>
    <t>зарплата бухгалтера (0,5 )</t>
  </si>
  <si>
    <t>связь (телефон, интернет, факс, звонки на сотовые номера)</t>
  </si>
  <si>
    <t>Расшифровка раздела 3</t>
  </si>
  <si>
    <t>№ п/п</t>
  </si>
  <si>
    <t>наименование</t>
  </si>
  <si>
    <t>кол-во шт.</t>
  </si>
  <si>
    <t>сумма</t>
  </si>
  <si>
    <t>Плановая промывка водоподогревателей</t>
  </si>
  <si>
    <t>Раздел 2                                                            Уборка территории и подъездов</t>
  </si>
  <si>
    <t>Раздел 1                                                                                                                      Оплата труда сотрудникам офиса и специалистам</t>
  </si>
  <si>
    <t>Итого по разделу 2</t>
  </si>
  <si>
    <t>Всего</t>
  </si>
  <si>
    <t>Обслуживание системы ГВС</t>
  </si>
  <si>
    <t>Статьи затрат</t>
  </si>
  <si>
    <t>Оплата труда сотрудникам офиса и специалистам</t>
  </si>
  <si>
    <t>Инструмент, инвентарь</t>
  </si>
  <si>
    <t>свёрла, кисти, гвозди,отрезные диски, электроды и пр.</t>
  </si>
  <si>
    <t>№ дома</t>
  </si>
  <si>
    <t>парковочные залы</t>
  </si>
  <si>
    <t>Дом №1</t>
  </si>
  <si>
    <t>Дом №3</t>
  </si>
  <si>
    <t>Дом №3/1</t>
  </si>
  <si>
    <t>Дом №3/2</t>
  </si>
  <si>
    <t>Дом №46</t>
  </si>
  <si>
    <t>Дом №47</t>
  </si>
  <si>
    <t>Дом №48</t>
  </si>
  <si>
    <t xml:space="preserve"> Дом №2</t>
  </si>
  <si>
    <t xml:space="preserve"> офисные помещения на первых этажах</t>
  </si>
  <si>
    <t>Общая площадь квартир и офисов</t>
  </si>
  <si>
    <t>офис</t>
  </si>
  <si>
    <t xml:space="preserve">Организация работы офиса ТСЖ </t>
  </si>
  <si>
    <t>кварт</t>
  </si>
  <si>
    <t>парк</t>
  </si>
  <si>
    <t>подв</t>
  </si>
  <si>
    <t>офисы на 1эт., офисы подв.</t>
  </si>
  <si>
    <t>Обслуживание инженерных сетей и общих  приборов учёта домов и парковок №№1,3,3/1,3/2,46,47,48.</t>
  </si>
  <si>
    <t>оператор уборочной техники</t>
  </si>
  <si>
    <t>дворник (дом №2)</t>
  </si>
  <si>
    <t>дворники (дома №№1, 3-3/2, 46-48)</t>
  </si>
  <si>
    <t>Обслуживание инженерных сетей и общих  приборов учёта</t>
  </si>
  <si>
    <t>Обслуживание эл.щитовой дома и оборуд.для полива газонов дома  №2</t>
  </si>
  <si>
    <t>Сумма затрат в год</t>
  </si>
  <si>
    <t>Содержание затрат</t>
  </si>
  <si>
    <t>Сбор с    1 кв.м. в месяц</t>
  </si>
  <si>
    <t xml:space="preserve"> жилые помещения, в т.ч. присоединённые к жилым мансардные и цокольные этажи</t>
  </si>
  <si>
    <t>Обслуживание эл.щитовой дома  дома  №2</t>
  </si>
  <si>
    <t xml:space="preserve">Обслуживание системы горячего водоснабжения </t>
  </si>
  <si>
    <t xml:space="preserve"> Лист 2</t>
  </si>
  <si>
    <t xml:space="preserve"> Лист 3</t>
  </si>
  <si>
    <t xml:space="preserve"> Лист 4</t>
  </si>
  <si>
    <t xml:space="preserve"> Лист 5</t>
  </si>
  <si>
    <t>Тарифы на отдельные виды работ и услуг</t>
  </si>
  <si>
    <t>Площади помещений в домах ТСЖ "Солнечная поляна"</t>
  </si>
  <si>
    <t xml:space="preserve"> Лист 6</t>
  </si>
  <si>
    <t>Итого c 1 м2 в год</t>
  </si>
  <si>
    <t>Итого c 1 м2 в месяц</t>
  </si>
  <si>
    <t>общая S парковок</t>
  </si>
  <si>
    <t>№ раздела</t>
  </si>
  <si>
    <t>Расчёт тарифа на содержание общего имущества</t>
  </si>
  <si>
    <t xml:space="preserve">Общая S нежилых помещений на цокольных этажах </t>
  </si>
  <si>
    <t>Содержание придом. сетей, обслуживание общих приборов учёта домов и парковок №№1,3,3/1,3/2,46,47,48. (Расшифровку  см. ниже)</t>
  </si>
  <si>
    <t>Итого п.п.1-8 Раздела 1</t>
  </si>
  <si>
    <t>Раздел 2. ФОТ уборщиков территории и подъездов (включая налоги и страховые сборы)</t>
  </si>
  <si>
    <t xml:space="preserve">мешки мусорные </t>
  </si>
  <si>
    <t xml:space="preserve">лампочки </t>
  </si>
  <si>
    <t>спецодежда для персонала</t>
  </si>
  <si>
    <t>стоимость в месяц</t>
  </si>
  <si>
    <t>стоимость в год</t>
  </si>
  <si>
    <t>Обслуживание систем пожаротушения</t>
  </si>
  <si>
    <t xml:space="preserve"> S помещений</t>
  </si>
  <si>
    <r>
      <t>Раздел 4.  Обслуживание  парковочных залов</t>
    </r>
    <r>
      <rPr>
        <b/>
        <i/>
        <sz val="6"/>
        <rFont val="Arial"/>
        <family val="2"/>
        <charset val="204"/>
      </rPr>
      <t>.</t>
    </r>
  </si>
  <si>
    <t>Сумма сборов в месяц</t>
  </si>
  <si>
    <t>Рост тарифов</t>
  </si>
  <si>
    <t>стоимость</t>
  </si>
  <si>
    <t>сбор с 1 кв.м. в год</t>
  </si>
  <si>
    <t>сбор с 1 кв.м. в мес.</t>
  </si>
  <si>
    <t>ИТОГО с 1 кв.м. в месяц</t>
  </si>
  <si>
    <t>зарплата диспетчера-администратора (0,5)</t>
  </si>
  <si>
    <t>Справочно:</t>
  </si>
  <si>
    <t>Покупка кранов, затворов, термометров и манометров, обратных клапанов</t>
  </si>
  <si>
    <t>транспортные расходы (компенсация за использование личных автомобилей работников)</t>
  </si>
  <si>
    <t>услуги иных специалистов и спец.организаций</t>
  </si>
  <si>
    <t xml:space="preserve">Инструмент, инвентарь </t>
  </si>
  <si>
    <t>аттестация и обучение персонала, спец. литература</t>
  </si>
  <si>
    <t>Итого расходы на зарплату и налоги в месяц</t>
  </si>
  <si>
    <t>Всего расходы на оплату труда и налоги в год</t>
  </si>
  <si>
    <t>Гидравлические испытания систем отопления и ГВС</t>
  </si>
  <si>
    <t>Общая S квартир и офисов</t>
  </si>
  <si>
    <t xml:space="preserve">Раздел 5. Обслуживание инженерных сетей и общих  приборов учёта </t>
  </si>
  <si>
    <t xml:space="preserve">Расшифровка п.1 раздела 5. </t>
  </si>
  <si>
    <t>Раздел 6. Обслуживание системы горячего водоснабжения домов  №№1,3,3/1,3/2,46,47,48.</t>
  </si>
  <si>
    <t>Должность (доля ставки)</t>
  </si>
  <si>
    <t>Управляющий</t>
  </si>
  <si>
    <t>Диспетчер-администратор (0,5)</t>
  </si>
  <si>
    <t xml:space="preserve"> Лист 1. Расчёт затрат на оплату труда </t>
  </si>
  <si>
    <t>подоходный налог 13%</t>
  </si>
  <si>
    <t>Оператор уборочной техники (снегоуборочник, газонокосилка)</t>
  </si>
  <si>
    <t>Максимальный годовой объём начислений с налогами и сборами (11 зарплат + отпускные)</t>
  </si>
  <si>
    <t>Максимально допустимая оплата труда заместителя (оклад + надбавка) на время отпуска основного сотрудника</t>
  </si>
  <si>
    <t>К утверждению общим собранием членов ТСЖ</t>
  </si>
  <si>
    <t>СПРАВОЧНО</t>
  </si>
  <si>
    <t>Раздел 1.  ФОТ сотрудников офиса и специалистов (включая налоги и страховые сборы)</t>
  </si>
  <si>
    <t xml:space="preserve">Раздел 3. Затраты на организацию работы ТСЖ </t>
  </si>
  <si>
    <t xml:space="preserve">канцелярские товары, бланки </t>
  </si>
  <si>
    <t xml:space="preserve">обслуживание орг.техеники и компьютеров </t>
  </si>
  <si>
    <t>Плановые работы на отдельных домах</t>
  </si>
  <si>
    <t>Раздел 7. Плановые работы на отдельных участках , в т.ч. обустройство территории, ремонт инженерных сетей и иных систем и элементов конструкции отдельных зданий</t>
  </si>
  <si>
    <t>Раздел 8. Обслуживание систем пожаротушения</t>
  </si>
  <si>
    <t>стоимость работ</t>
  </si>
  <si>
    <t>Раздел 3 . Затраты на организацию работы ТСЖ (расшифровку строк см. ниже)</t>
  </si>
  <si>
    <t>3.1</t>
  </si>
  <si>
    <t>3.2</t>
  </si>
  <si>
    <t>3.3</t>
  </si>
  <si>
    <t>3.4</t>
  </si>
  <si>
    <t>3.4 Инструмент, инвентарь</t>
  </si>
  <si>
    <t>Раздел 4. Обслуживание  парковочных залов</t>
  </si>
  <si>
    <t>Раздел 5. Обслуживание инженерных сетей</t>
  </si>
  <si>
    <t>Раздел 6. Система ГВС</t>
  </si>
  <si>
    <t xml:space="preserve">Раздел 8. Обслуживание систем пожаротушения </t>
  </si>
  <si>
    <t>Иные плановые работы и материалы для содержания придомовых сетей</t>
  </si>
  <si>
    <t xml:space="preserve">обслуживание уборочной техники </t>
  </si>
  <si>
    <t>инвентарь для дворников</t>
  </si>
  <si>
    <t xml:space="preserve"> уход за газонами, поливочный инвентарь</t>
  </si>
  <si>
    <t xml:space="preserve">в месяц </t>
  </si>
  <si>
    <t>с 1 кв.м в месяц</t>
  </si>
  <si>
    <t>уход за территорией, мусорными камерами (вазоны, покраска элементов, мелкие ремонтные работы на внутридворовых конструкциях, ограждениях  т.п.)</t>
  </si>
  <si>
    <t>Обслуживание систем пожаротушения в парковочном зале дома №3</t>
  </si>
  <si>
    <t>Обслуживание системы пожаротушения в парковочном зале дома № 3/1</t>
  </si>
  <si>
    <t>Тех.обслуживание пожарной сигнализации в парковочном зале д.№1</t>
  </si>
  <si>
    <t>Обслуживание системы пожаротушения в парковочном зале дома № 3/2</t>
  </si>
  <si>
    <t>Спец.обслуживание пожарных гидрантов в парковочном зале дома № 3/2</t>
  </si>
  <si>
    <t>Обслуживание системы пожаротушения в парковочном зале дома № 46</t>
  </si>
  <si>
    <t>Обслуживание системы пожаротушения в парковочном зале дома № 47</t>
  </si>
  <si>
    <t>Обслуживание системы пожаротушения в парковочном зале дома № 48</t>
  </si>
  <si>
    <t>Обслуживание систем пожарной сигнализации в подъездах домов №№ 1, 3-48</t>
  </si>
  <si>
    <t>Автостоянка дома №1</t>
  </si>
  <si>
    <t>Автостоянка дома №3</t>
  </si>
  <si>
    <t>Автостоянка дома №3/1</t>
  </si>
  <si>
    <t>Автостоянка дома №46</t>
  </si>
  <si>
    <t>Автостоянка дома №47</t>
  </si>
  <si>
    <t>Автостоянка дома №48</t>
  </si>
  <si>
    <t>Автостоянка дома №3/2</t>
  </si>
  <si>
    <t>общая S квартир и офисов</t>
  </si>
  <si>
    <t>Паспортный стол</t>
  </si>
  <si>
    <t xml:space="preserve">Содержание общего имущества и организация работы ТСЖ </t>
  </si>
  <si>
    <t>Мелкий текущий ремонт в парковках (кроме обслуживания ворот и систем пожаротушения)</t>
  </si>
  <si>
    <t xml:space="preserve"> Лист 7</t>
  </si>
  <si>
    <t>Спец.обслуживание пожарных кранов в парковочном зале дома №1</t>
  </si>
  <si>
    <t>Спец.обслуживание пожарных кранов в парковочном зале дома № 3/1</t>
  </si>
  <si>
    <t>Спец.обслуживание пожарных кранов в парковочном зале дома №3</t>
  </si>
  <si>
    <t>Спец.обслуживание пожарных кранов в парковочном зале дома №46</t>
  </si>
  <si>
    <t>Спец.обслуживание пожарных кранов в парковочном зале дома №47</t>
  </si>
  <si>
    <t>Спец.обслуживание пожарных кранов в парковочном зале дома № 48</t>
  </si>
  <si>
    <t>переаттестация огнетушителей</t>
  </si>
  <si>
    <t>утилизация ламп</t>
  </si>
  <si>
    <t>Покупка  маномертов</t>
  </si>
  <si>
    <t xml:space="preserve">ср-ва для уборки помещений (включая инвентарь) </t>
  </si>
  <si>
    <t>Замер сопротивления изоляции д.1</t>
  </si>
  <si>
    <t>Замер сопротивления изоляции д.3/1</t>
  </si>
  <si>
    <t>Замер сопротивления изоляции  д.46</t>
  </si>
  <si>
    <t>Замер сопротивления изоляции д.47</t>
  </si>
  <si>
    <t>Замер сопротивления изоляции  д.48</t>
  </si>
  <si>
    <t>Замер сопротивления изоляции д.2</t>
  </si>
  <si>
    <t>Замер сопротивления изоляции парковки  д.1</t>
  </si>
  <si>
    <t xml:space="preserve">                    ПАРКОВКИ</t>
  </si>
  <si>
    <t>Замер сопротивления изоляции  парковки,  д.3</t>
  </si>
  <si>
    <t>Замер сопротивления изоляции  парковки  д.3/2</t>
  </si>
  <si>
    <t>Замер сопротивления изоляции парковки   д.48</t>
  </si>
  <si>
    <t>ИТОГО</t>
  </si>
  <si>
    <t xml:space="preserve">              ИТОГО</t>
  </si>
  <si>
    <t>Смета расходов на содержание общего имущества в 2020г.</t>
  </si>
  <si>
    <t>Замер сопротивления изоляции дом 1</t>
  </si>
  <si>
    <t>Замер сопротивления изоляции дом 2</t>
  </si>
  <si>
    <t>Замер сопротивления изоляции дом 3</t>
  </si>
  <si>
    <t>Замер сопротивления изоляции дом 3/1</t>
  </si>
  <si>
    <t>Замер сопротивления изоляции дом 3/2</t>
  </si>
  <si>
    <t>Замер сопротивления изоляции дом 46</t>
  </si>
  <si>
    <t>Замер сопротивления изоляции дом 47</t>
  </si>
  <si>
    <t>Замер сопротивления изоляции дом 48</t>
  </si>
  <si>
    <t>Замер сопротивления изоляции парковки дом 1</t>
  </si>
  <si>
    <t>Замер сопротивления изоляции парковки дом 3</t>
  </si>
  <si>
    <t>Замер сопротивления изоляции парковки дом  3/1</t>
  </si>
  <si>
    <t>Замер сопротивления изоляции парковки дом 3/2</t>
  </si>
  <si>
    <t>Замер сопротивления изоляции парковки дом 46</t>
  </si>
  <si>
    <t>Замер сопротивления изоляции парковки дом 48</t>
  </si>
  <si>
    <t>Замер сопротивления изоляции парковки дом 47</t>
  </si>
  <si>
    <t>Слесарь-сантехник (0,5)</t>
  </si>
  <si>
    <t xml:space="preserve">  ВСЕГО  по разделу 7</t>
  </si>
  <si>
    <t>Замена аккумулятора  БИРП 12/4</t>
  </si>
  <si>
    <t>Тарифы 2019года</t>
  </si>
  <si>
    <t>уборщицы  (13 подъездов)  ст 2,57</t>
  </si>
  <si>
    <t xml:space="preserve">                                  Итого по автостоянке дома №1</t>
  </si>
  <si>
    <t xml:space="preserve">                                   Итого по разделу</t>
  </si>
  <si>
    <t xml:space="preserve">                            Итого по автостоянке дома №3</t>
  </si>
  <si>
    <t xml:space="preserve">                         Итого по автостоянке дома №3/1</t>
  </si>
  <si>
    <t xml:space="preserve">                              Итого по автостоянке дома №3/2</t>
  </si>
  <si>
    <t xml:space="preserve">                        Итого по автостоянке дома № 46</t>
  </si>
  <si>
    <t xml:space="preserve">                            Итого по автостоянке дома № 47</t>
  </si>
  <si>
    <t xml:space="preserve">                              Итого по автостоянке дома №48</t>
  </si>
  <si>
    <t xml:space="preserve">                                          ПАРКОВКИ</t>
  </si>
  <si>
    <t xml:space="preserve">                             Итого по парковкам</t>
  </si>
  <si>
    <t xml:space="preserve">                                                             ИТОГО</t>
  </si>
  <si>
    <t>в том числе</t>
  </si>
  <si>
    <t>охрана (тревожная кнопка) 873,07*12 и 302,72*12</t>
  </si>
  <si>
    <t>Сбор на плановое переоснащение системы автоматического пожаротушения дом №3/1</t>
  </si>
  <si>
    <t>Сбор на плановое переоснащение системы автоматического пожаротушения дом №3</t>
  </si>
  <si>
    <t>Сбор на плановое переоснащение системы автоматического пожаротушения дом №3/2</t>
  </si>
  <si>
    <t>"Солнечная поляна" "03" декабря 2019 года</t>
  </si>
  <si>
    <t>Фиксированный оклад (выплат на руки)</t>
  </si>
  <si>
    <t>"Солнечная поляна" "03" декабря 2019года</t>
  </si>
  <si>
    <t>3.1. Услуги специализированных организаций</t>
  </si>
  <si>
    <t xml:space="preserve">3.2. Организация работы офиса ТСЖ </t>
  </si>
  <si>
    <t>3.3. Прочие расходы</t>
  </si>
  <si>
    <t>Максимальная надбавка за качество (выплата  на руки)</t>
  </si>
  <si>
    <t>Доплата вознаграждения члену Правления ТСЖ от дома №47</t>
  </si>
  <si>
    <t>ИТОГО по разделу 7 (дома)</t>
  </si>
  <si>
    <t>Замер сопротивления изоляции  д.3</t>
  </si>
  <si>
    <t>Замер сопротивления изоляции д.3/2</t>
  </si>
  <si>
    <t>ИТОГО по разделу 7  (парковки)</t>
  </si>
  <si>
    <t>Замер сопротивления изоляции парковки  д.46</t>
  </si>
  <si>
    <t>Замер сопротивления изоляции парковки д.47</t>
  </si>
  <si>
    <t>Замер сопротивления изоляции парковки д.3/1</t>
  </si>
  <si>
    <t>средства для уборки парковок (мешки)</t>
  </si>
  <si>
    <t>в т.ч. мелкий текущий ремонт во всех парковочных залах (кроме обслуживания автоматических ворот)</t>
  </si>
  <si>
    <t>"Солнечная поляна" "03" декабря 2019 год</t>
  </si>
  <si>
    <t>Уборщицы  (13 подъездов)</t>
  </si>
  <si>
    <t>Дворники  (дома №№1, 3-3/2, 46-48)</t>
  </si>
  <si>
    <t xml:space="preserve">Дворник дом №2                           </t>
  </si>
  <si>
    <t>Влажная уборка в парковках</t>
  </si>
  <si>
    <t>Уборка проездов внутри парковок (дома №№1, 3-3/2, 46-48)</t>
  </si>
  <si>
    <t xml:space="preserve">Уборщица помещения офиса </t>
  </si>
  <si>
    <t>Инженер сетей (0,5)</t>
  </si>
  <si>
    <t>Кассир (0,5)</t>
  </si>
  <si>
    <t>Бухгалтер (0,5)</t>
  </si>
  <si>
    <t>Электрик (0,5)</t>
  </si>
  <si>
    <t>Паспортист (0,2)</t>
  </si>
  <si>
    <t>Плановая поверка расходомеров ПРЭМ, ВКТ, КТПТР</t>
  </si>
  <si>
    <t>Замена аккумулятора  СКАТ2400 (управление фрамугами в подъезде д.3/2)</t>
  </si>
  <si>
    <t>Замена аккумулятора  СКАТ2400 (управление фрамугами в подъездах  д.3)</t>
  </si>
  <si>
    <t>Замена аккумулятора  СКАТ2400 (управление фрамугами в подъездах д.3/1)</t>
  </si>
  <si>
    <t>Замена аккумулятора  СКАТ2400 (управление фрамугами в подъездах д.46)</t>
  </si>
  <si>
    <t>Замена аккумулятора  ПКП "Магистр" д.3</t>
  </si>
  <si>
    <t>Замена аккумулятора СКАТ2400 (управление фрамугами в подъездах д.1)</t>
  </si>
  <si>
    <t>Дворники (Уборка дворов)</t>
  </si>
  <si>
    <t>Дворники (Уборка машиномест в парковках)</t>
  </si>
  <si>
    <t>Влажная уборка в парковочных залах</t>
  </si>
  <si>
    <t>Уборщицы (Уборка в подъездах)</t>
  </si>
  <si>
    <t>Оператор уборочной  техники</t>
  </si>
  <si>
    <t>Замеры сопротивления изоляции</t>
  </si>
  <si>
    <t xml:space="preserve">Замена аккумуляторов </t>
  </si>
  <si>
    <t>3/1</t>
  </si>
  <si>
    <t>3/2</t>
  </si>
  <si>
    <t xml:space="preserve">нежилые помещения в цокольных этажах </t>
  </si>
  <si>
    <t>Максимальная сумма начисления заработной платы, включая подоходный налог</t>
  </si>
  <si>
    <t>Сборы в ПФР и ФСС 30,2%</t>
  </si>
  <si>
    <t>дворники (уборка внутри парковок)</t>
  </si>
  <si>
    <t>влажная уборка парковок (ст 2,57)</t>
  </si>
  <si>
    <t>обслуживание программы 1С (бухгалтерия)</t>
  </si>
  <si>
    <t xml:space="preserve">коммунальные  услуги </t>
  </si>
  <si>
    <t>Фонд вознаграждения членам Правления ТСЖ (с налогами)</t>
  </si>
  <si>
    <t>Вознаграждение Председателю Правления ТСЖ (с налогами)</t>
  </si>
  <si>
    <t>Мелкий текущий ремонт внутри помещений парковочных залов (кроме автоматических ворот), средства для уборки парковок (мешки)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</si>
</sst>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_-* #,##0.00\ _₽_-;\-* #,##0.00\ _₽_-;_-* &quot;-&quot;??\ _₽_-;_-@_-"/>
    <numFmt numFmtId="165" formatCode="_(* #,##0.00_);_(* \(#,##0.00\);_(* &quot;-&quot;??_);_(@_)"/>
    <numFmt numFmtId="166" formatCode="0.0"/>
    <numFmt numFmtId="167" formatCode="0.0000"/>
    <numFmt numFmtId="168" formatCode="_(* #,##0_);_(* \(#,##0\);_(* &quot;-&quot;??_);_(@_)"/>
  </numFmts>
  <fonts count="64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i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6"/>
      <name val="Arial"/>
      <family val="2"/>
      <charset val="204"/>
    </font>
    <font>
      <b/>
      <i/>
      <sz val="8"/>
      <name val="Arial"/>
      <family val="2"/>
      <charset val="204"/>
    </font>
    <font>
      <b/>
      <i/>
      <sz val="10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i/>
      <sz val="6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rgb="FFFF000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  <charset val="204"/>
    </font>
    <font>
      <b/>
      <sz val="10"/>
      <name val="Times New Roman"/>
      <family val="1"/>
    </font>
    <font>
      <b/>
      <i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i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theme="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color rgb="FFFF0000"/>
      <name val="Times New Roman"/>
      <family val="1"/>
    </font>
    <font>
      <b/>
      <sz val="14"/>
      <name val="Times New Roman"/>
      <family val="1"/>
    </font>
    <font>
      <b/>
      <sz val="11"/>
      <name val="Arial"/>
      <family val="2"/>
    </font>
    <font>
      <b/>
      <sz val="8"/>
      <color theme="0"/>
      <name val="Arial"/>
      <family val="2"/>
    </font>
    <font>
      <b/>
      <sz val="7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802">
    <xf numFmtId="0" fontId="0" fillId="0" borderId="0" xfId="0"/>
    <xf numFmtId="0" fontId="3" fillId="0" borderId="0" xfId="0" applyFont="1"/>
    <xf numFmtId="0" fontId="3" fillId="0" borderId="0" xfId="0" applyFont="1" applyFill="1"/>
    <xf numFmtId="165" fontId="3" fillId="0" borderId="0" xfId="1" applyFont="1"/>
    <xf numFmtId="0" fontId="0" fillId="0" borderId="0" xfId="0" applyAlignment="1">
      <alignment horizontal="center" vertical="center"/>
    </xf>
    <xf numFmtId="0" fontId="6" fillId="0" borderId="0" xfId="0" applyFont="1" applyFill="1" applyAlignment="1"/>
    <xf numFmtId="0" fontId="6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textRotation="90" wrapText="1"/>
    </xf>
    <xf numFmtId="2" fontId="8" fillId="0" borderId="19" xfId="0" applyNumberFormat="1" applyFont="1" applyFill="1" applyBorder="1" applyAlignment="1">
      <alignment horizontal="right" vertical="center" wrapText="1"/>
    </xf>
    <xf numFmtId="2" fontId="8" fillId="0" borderId="20" xfId="0" applyNumberFormat="1" applyFont="1" applyFill="1" applyBorder="1" applyAlignment="1">
      <alignment horizontal="right" vertical="center" wrapText="1"/>
    </xf>
    <xf numFmtId="43" fontId="8" fillId="0" borderId="16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165" fontId="8" fillId="0" borderId="26" xfId="1" applyFont="1" applyFill="1" applyBorder="1" applyAlignment="1">
      <alignment horizontal="right" vertical="center" wrapText="1" shrinkToFit="1"/>
    </xf>
    <xf numFmtId="0" fontId="11" fillId="0" borderId="0" xfId="0" applyFont="1"/>
    <xf numFmtId="0" fontId="12" fillId="0" borderId="0" xfId="0" applyFont="1" applyFill="1" applyAlignment="1"/>
    <xf numFmtId="0" fontId="12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0" xfId="0" applyFont="1" applyFill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  <xf numFmtId="2" fontId="1" fillId="0" borderId="27" xfId="0" applyNumberFormat="1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32" xfId="0" applyNumberFormat="1" applyFont="1" applyFill="1" applyBorder="1" applyAlignment="1">
      <alignment horizontal="center" vertical="center"/>
    </xf>
    <xf numFmtId="2" fontId="1" fillId="0" borderId="29" xfId="0" applyNumberFormat="1" applyFont="1" applyFill="1" applyBorder="1" applyAlignment="1">
      <alignment horizontal="center" vertical="center"/>
    </xf>
    <xf numFmtId="2" fontId="1" fillId="0" borderId="23" xfId="0" applyNumberFormat="1" applyFont="1" applyFill="1" applyBorder="1" applyAlignment="1">
      <alignment horizontal="center" vertical="center"/>
    </xf>
    <xf numFmtId="2" fontId="1" fillId="0" borderId="33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0" borderId="32" xfId="0" applyBorder="1"/>
    <xf numFmtId="2" fontId="5" fillId="0" borderId="6" xfId="0" applyNumberFormat="1" applyFont="1" applyFill="1" applyBorder="1" applyAlignment="1">
      <alignment horizontal="center" vertical="center" wrapText="1" shrinkToFit="1"/>
    </xf>
    <xf numFmtId="2" fontId="5" fillId="0" borderId="36" xfId="0" applyNumberFormat="1" applyFont="1" applyFill="1" applyBorder="1" applyAlignment="1">
      <alignment horizontal="center" vertical="center" wrapText="1" shrinkToFit="1"/>
    </xf>
    <xf numFmtId="2" fontId="1" fillId="0" borderId="6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1" fillId="0" borderId="36" xfId="0" applyNumberFormat="1" applyFont="1" applyFill="1" applyBorder="1" applyAlignment="1">
      <alignment horizontal="center" vertical="center"/>
    </xf>
    <xf numFmtId="2" fontId="1" fillId="0" borderId="37" xfId="0" applyNumberFormat="1" applyFont="1" applyFill="1" applyBorder="1" applyAlignment="1">
      <alignment horizontal="center" vertical="center"/>
    </xf>
    <xf numFmtId="2" fontId="1" fillId="0" borderId="38" xfId="0" applyNumberFormat="1" applyFont="1" applyFill="1" applyBorder="1" applyAlignment="1">
      <alignment horizontal="center" vertical="center"/>
    </xf>
    <xf numFmtId="1" fontId="1" fillId="0" borderId="23" xfId="0" applyNumberFormat="1" applyFont="1" applyFill="1" applyBorder="1" applyAlignment="1">
      <alignment horizontal="center" vertical="center"/>
    </xf>
    <xf numFmtId="1" fontId="1" fillId="0" borderId="33" xfId="0" applyNumberFormat="1" applyFont="1" applyFill="1" applyBorder="1" applyAlignment="1">
      <alignment horizontal="center" vertical="center"/>
    </xf>
    <xf numFmtId="0" fontId="2" fillId="0" borderId="0" xfId="0" applyFont="1"/>
    <xf numFmtId="2" fontId="1" fillId="0" borderId="2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textRotation="90" wrapText="1"/>
    </xf>
    <xf numFmtId="0" fontId="8" fillId="0" borderId="0" xfId="0" applyFont="1" applyFill="1" applyBorder="1" applyAlignment="1">
      <alignment horizontal="left" vertical="center" wrapText="1" shrinkToFit="1"/>
    </xf>
    <xf numFmtId="168" fontId="8" fillId="0" borderId="0" xfId="1" applyNumberFormat="1" applyFont="1" applyBorder="1" applyAlignment="1">
      <alignment horizontal="center" vertical="center"/>
    </xf>
    <xf numFmtId="165" fontId="8" fillId="0" borderId="0" xfId="1" applyNumberFormat="1" applyFont="1" applyBorder="1" applyAlignment="1">
      <alignment horizontal="center" vertical="center"/>
    </xf>
    <xf numFmtId="165" fontId="7" fillId="0" borderId="0" xfId="1" applyNumberFormat="1" applyFont="1" applyBorder="1" applyAlignment="1">
      <alignment horizontal="center" vertical="center"/>
    </xf>
    <xf numFmtId="0" fontId="6" fillId="0" borderId="0" xfId="0" applyFont="1"/>
    <xf numFmtId="2" fontId="17" fillId="0" borderId="40" xfId="0" applyNumberFormat="1" applyFont="1" applyBorder="1"/>
    <xf numFmtId="2" fontId="17" fillId="0" borderId="41" xfId="0" applyNumberFormat="1" applyFont="1" applyBorder="1"/>
    <xf numFmtId="2" fontId="17" fillId="0" borderId="42" xfId="0" applyNumberFormat="1" applyFont="1" applyBorder="1"/>
    <xf numFmtId="2" fontId="17" fillId="0" borderId="40" xfId="0" applyNumberFormat="1" applyFont="1" applyBorder="1" applyAlignment="1">
      <alignment horizontal="right" vertical="center"/>
    </xf>
    <xf numFmtId="2" fontId="17" fillId="0" borderId="41" xfId="0" applyNumberFormat="1" applyFont="1" applyBorder="1" applyAlignment="1">
      <alignment horizontal="right" vertical="center"/>
    </xf>
    <xf numFmtId="2" fontId="17" fillId="0" borderId="42" xfId="0" applyNumberFormat="1" applyFont="1" applyBorder="1" applyAlignment="1">
      <alignment horizontal="right" vertical="center"/>
    </xf>
    <xf numFmtId="2" fontId="17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24" xfId="0" applyFont="1" applyBorder="1"/>
    <xf numFmtId="0" fontId="6" fillId="0" borderId="12" xfId="0" applyFont="1" applyBorder="1"/>
    <xf numFmtId="0" fontId="6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2" fontId="0" fillId="0" borderId="0" xfId="0" applyNumberFormat="1"/>
    <xf numFmtId="0" fontId="14" fillId="0" borderId="0" xfId="0" applyFont="1" applyFill="1" applyAlignment="1"/>
    <xf numFmtId="0" fontId="18" fillId="0" borderId="0" xfId="0" applyFont="1" applyAlignment="1">
      <alignment horizontal="right"/>
    </xf>
    <xf numFmtId="0" fontId="19" fillId="0" borderId="0" xfId="0" applyFont="1"/>
    <xf numFmtId="0" fontId="18" fillId="0" borderId="0" xfId="0" applyFont="1" applyFill="1" applyAlignment="1">
      <alignment horizontal="left" vertical="center"/>
    </xf>
    <xf numFmtId="0" fontId="19" fillId="0" borderId="0" xfId="0" applyFont="1" applyAlignment="1"/>
    <xf numFmtId="165" fontId="18" fillId="0" borderId="0" xfId="1" applyFont="1"/>
    <xf numFmtId="0" fontId="18" fillId="0" borderId="0" xfId="0" applyFont="1" applyAlignment="1"/>
    <xf numFmtId="0" fontId="18" fillId="0" borderId="0" xfId="0" applyFont="1" applyFill="1" applyAlignment="1">
      <alignment vertical="center"/>
    </xf>
    <xf numFmtId="0" fontId="8" fillId="0" borderId="31" xfId="0" applyFont="1" applyBorder="1" applyAlignment="1">
      <alignment horizontal="center" vertical="center"/>
    </xf>
    <xf numFmtId="168" fontId="7" fillId="0" borderId="0" xfId="1" applyNumberFormat="1" applyFont="1" applyBorder="1" applyAlignment="1">
      <alignment horizontal="center" vertical="center"/>
    </xf>
    <xf numFmtId="0" fontId="19" fillId="0" borderId="0" xfId="0" applyFont="1" applyFill="1" applyAlignment="1"/>
    <xf numFmtId="1" fontId="1" fillId="0" borderId="37" xfId="0" applyNumberFormat="1" applyFont="1" applyFill="1" applyBorder="1" applyAlignment="1">
      <alignment horizontal="center" vertical="center"/>
    </xf>
    <xf numFmtId="1" fontId="1" fillId="0" borderId="38" xfId="0" applyNumberFormat="1" applyFont="1" applyFill="1" applyBorder="1" applyAlignment="1">
      <alignment horizontal="center" vertical="center"/>
    </xf>
    <xf numFmtId="2" fontId="2" fillId="0" borderId="23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 wrapText="1" shrinkToFit="1"/>
    </xf>
    <xf numFmtId="2" fontId="5" fillId="0" borderId="18" xfId="0" applyNumberFormat="1" applyFont="1" applyFill="1" applyBorder="1" applyAlignment="1">
      <alignment horizontal="center" vertical="center" wrapText="1" shrinkToFit="1"/>
    </xf>
    <xf numFmtId="2" fontId="1" fillId="0" borderId="21" xfId="0" applyNumberFormat="1" applyFont="1" applyFill="1" applyBorder="1" applyAlignment="1">
      <alignment horizontal="center" vertical="center"/>
    </xf>
    <xf numFmtId="1" fontId="1" fillId="0" borderId="54" xfId="0" applyNumberFormat="1" applyFont="1" applyFill="1" applyBorder="1" applyAlignment="1">
      <alignment horizontal="center" vertical="center"/>
    </xf>
    <xf numFmtId="2" fontId="1" fillId="0" borderId="25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15" fillId="0" borderId="36" xfId="0" applyNumberFormat="1" applyFont="1" applyFill="1" applyBorder="1" applyAlignment="1">
      <alignment horizontal="center" vertical="center" wrapText="1" shrinkToFit="1"/>
    </xf>
    <xf numFmtId="2" fontId="1" fillId="0" borderId="54" xfId="0" applyNumberFormat="1" applyFont="1" applyFill="1" applyBorder="1" applyAlignment="1">
      <alignment horizontal="center" vertical="center"/>
    </xf>
    <xf numFmtId="2" fontId="2" fillId="0" borderId="29" xfId="0" applyNumberFormat="1" applyFont="1" applyFill="1" applyBorder="1" applyAlignment="1">
      <alignment horizontal="center" vertical="center"/>
    </xf>
    <xf numFmtId="2" fontId="13" fillId="0" borderId="29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1" fontId="1" fillId="0" borderId="2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2" fillId="0" borderId="37" xfId="0" applyNumberFormat="1" applyFont="1" applyFill="1" applyBorder="1" applyAlignment="1">
      <alignment horizontal="center" vertical="center"/>
    </xf>
    <xf numFmtId="1" fontId="1" fillId="0" borderId="53" xfId="0" applyNumberFormat="1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textRotation="90" wrapText="1" shrinkToFit="1"/>
    </xf>
    <xf numFmtId="0" fontId="1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31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2" fontId="0" fillId="0" borderId="57" xfId="0" applyNumberFormat="1" applyBorder="1"/>
    <xf numFmtId="2" fontId="0" fillId="0" borderId="35" xfId="0" applyNumberFormat="1" applyBorder="1"/>
    <xf numFmtId="2" fontId="2" fillId="0" borderId="48" xfId="0" applyNumberFormat="1" applyFont="1" applyBorder="1"/>
    <xf numFmtId="2" fontId="0" fillId="0" borderId="16" xfId="0" applyNumberFormat="1" applyBorder="1"/>
    <xf numFmtId="2" fontId="0" fillId="0" borderId="32" xfId="0" applyNumberFormat="1" applyBorder="1"/>
    <xf numFmtId="2" fontId="6" fillId="0" borderId="12" xfId="0" applyNumberFormat="1" applyFont="1" applyBorder="1"/>
    <xf numFmtId="1" fontId="0" fillId="0" borderId="16" xfId="0" applyNumberFormat="1" applyBorder="1"/>
    <xf numFmtId="2" fontId="0" fillId="0" borderId="20" xfId="0" applyNumberFormat="1" applyBorder="1"/>
    <xf numFmtId="2" fontId="0" fillId="0" borderId="26" xfId="0" applyNumberFormat="1" applyBorder="1"/>
    <xf numFmtId="2" fontId="0" fillId="0" borderId="28" xfId="0" applyNumberFormat="1" applyBorder="1"/>
    <xf numFmtId="2" fontId="6" fillId="0" borderId="11" xfId="0" applyNumberFormat="1" applyFont="1" applyBorder="1"/>
    <xf numFmtId="1" fontId="0" fillId="0" borderId="26" xfId="0" applyNumberFormat="1" applyBorder="1"/>
    <xf numFmtId="2" fontId="6" fillId="0" borderId="31" xfId="0" applyNumberFormat="1" applyFont="1" applyBorder="1"/>
    <xf numFmtId="2" fontId="6" fillId="0" borderId="41" xfId="0" applyNumberFormat="1" applyFont="1" applyBorder="1"/>
    <xf numFmtId="0" fontId="14" fillId="0" borderId="0" xfId="0" applyFont="1"/>
    <xf numFmtId="0" fontId="12" fillId="0" borderId="30" xfId="0" applyFont="1" applyBorder="1" applyAlignment="1">
      <alignment horizontal="center" vertical="center"/>
    </xf>
    <xf numFmtId="43" fontId="8" fillId="0" borderId="26" xfId="0" applyNumberFormat="1" applyFont="1" applyFill="1" applyBorder="1" applyAlignment="1">
      <alignment horizontal="right" vertical="center" wrapText="1"/>
    </xf>
    <xf numFmtId="2" fontId="8" fillId="0" borderId="31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 shrinkToFit="1"/>
    </xf>
    <xf numFmtId="0" fontId="7" fillId="0" borderId="27" xfId="0" applyFont="1" applyFill="1" applyBorder="1" applyAlignment="1">
      <alignment horizontal="center" vertical="center" wrapText="1" shrinkToFit="1"/>
    </xf>
    <xf numFmtId="0" fontId="7" fillId="0" borderId="27" xfId="0" applyFont="1" applyFill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 shrinkToFit="1"/>
    </xf>
    <xf numFmtId="2" fontId="1" fillId="0" borderId="14" xfId="0" applyNumberFormat="1" applyFont="1" applyFill="1" applyBorder="1" applyAlignment="1">
      <alignment horizontal="center" vertical="center"/>
    </xf>
    <xf numFmtId="1" fontId="1" fillId="0" borderId="58" xfId="0" applyNumberFormat="1" applyFont="1" applyFill="1" applyBorder="1" applyAlignment="1">
      <alignment horizontal="center" vertical="center"/>
    </xf>
    <xf numFmtId="1" fontId="1" fillId="0" borderId="22" xfId="0" applyNumberFormat="1" applyFont="1" applyFill="1" applyBorder="1" applyAlignment="1">
      <alignment horizontal="center" vertical="center"/>
    </xf>
    <xf numFmtId="2" fontId="1" fillId="0" borderId="26" xfId="0" applyNumberFormat="1" applyFont="1" applyFill="1" applyBorder="1" applyAlignment="1">
      <alignment horizontal="center" vertical="center"/>
    </xf>
    <xf numFmtId="2" fontId="1" fillId="0" borderId="28" xfId="0" applyNumberFormat="1" applyFont="1" applyFill="1" applyBorder="1" applyAlignment="1">
      <alignment horizontal="center" vertical="center"/>
    </xf>
    <xf numFmtId="2" fontId="1" fillId="0" borderId="58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2" fontId="1" fillId="0" borderId="22" xfId="0" applyNumberFormat="1" applyFont="1" applyFill="1" applyBorder="1" applyAlignment="1">
      <alignment horizontal="center" vertical="center"/>
    </xf>
    <xf numFmtId="1" fontId="1" fillId="0" borderId="55" xfId="0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21" fillId="0" borderId="0" xfId="0" applyFont="1" applyBorder="1" applyAlignment="1">
      <alignment horizontal="center"/>
    </xf>
    <xf numFmtId="2" fontId="22" fillId="0" borderId="0" xfId="0" applyNumberFormat="1" applyFont="1" applyBorder="1"/>
    <xf numFmtId="0" fontId="14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/>
    </xf>
    <xf numFmtId="2" fontId="12" fillId="0" borderId="10" xfId="0" applyNumberFormat="1" applyFont="1" applyFill="1" applyBorder="1" applyAlignment="1">
      <alignment horizontal="center" vertical="center"/>
    </xf>
    <xf numFmtId="2" fontId="22" fillId="0" borderId="23" xfId="0" applyNumberFormat="1" applyFont="1" applyBorder="1" applyAlignment="1">
      <alignment horizontal="center" vertical="center"/>
    </xf>
    <xf numFmtId="2" fontId="22" fillId="0" borderId="33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/>
    <xf numFmtId="165" fontId="8" fillId="0" borderId="41" xfId="1" applyFont="1" applyFill="1" applyBorder="1" applyAlignment="1">
      <alignment horizontal="right" vertical="center" wrapText="1" shrinkToFit="1"/>
    </xf>
    <xf numFmtId="165" fontId="8" fillId="0" borderId="31" xfId="1" applyFont="1" applyFill="1" applyBorder="1" applyAlignment="1">
      <alignment horizontal="right" vertical="center" wrapText="1" shrinkToFit="1"/>
    </xf>
    <xf numFmtId="165" fontId="24" fillId="0" borderId="4" xfId="1" applyFont="1" applyFill="1" applyBorder="1" applyAlignment="1">
      <alignment horizontal="right" vertical="center" wrapText="1" shrinkToFit="1"/>
    </xf>
    <xf numFmtId="165" fontId="24" fillId="0" borderId="3" xfId="1" applyFont="1" applyFill="1" applyBorder="1" applyAlignment="1">
      <alignment horizontal="right" vertical="center" wrapText="1" shrinkToFit="1"/>
    </xf>
    <xf numFmtId="165" fontId="7" fillId="0" borderId="41" xfId="1" applyFont="1" applyFill="1" applyBorder="1" applyAlignment="1">
      <alignment horizontal="right" vertical="center" wrapText="1" shrinkToFit="1"/>
    </xf>
    <xf numFmtId="165" fontId="7" fillId="0" borderId="31" xfId="1" applyFont="1" applyFill="1" applyBorder="1" applyAlignment="1">
      <alignment horizontal="right" vertical="center" wrapText="1" shrinkToFit="1"/>
    </xf>
    <xf numFmtId="165" fontId="7" fillId="0" borderId="52" xfId="1" applyFont="1" applyFill="1" applyBorder="1" applyAlignment="1">
      <alignment horizontal="right" vertical="center" wrapText="1" shrinkToFit="1"/>
    </xf>
    <xf numFmtId="165" fontId="8" fillId="0" borderId="32" xfId="1" applyNumberFormat="1" applyFont="1" applyBorder="1" applyAlignment="1">
      <alignment horizontal="center" vertical="center"/>
    </xf>
    <xf numFmtId="165" fontId="8" fillId="0" borderId="28" xfId="1" applyNumberFormat="1" applyFont="1" applyBorder="1" applyAlignment="1">
      <alignment horizontal="center" vertical="center"/>
    </xf>
    <xf numFmtId="0" fontId="23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2" fontId="17" fillId="0" borderId="41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25" fillId="0" borderId="0" xfId="0" applyFont="1"/>
    <xf numFmtId="0" fontId="8" fillId="0" borderId="19" xfId="0" applyFont="1" applyBorder="1" applyAlignment="1">
      <alignment horizontal="center" vertical="center"/>
    </xf>
    <xf numFmtId="165" fontId="8" fillId="2" borderId="48" xfId="1" applyNumberFormat="1" applyFont="1" applyFill="1" applyBorder="1" applyAlignment="1">
      <alignment horizontal="center" vertical="center"/>
    </xf>
    <xf numFmtId="165" fontId="8" fillId="2" borderId="20" xfId="1" applyNumberFormat="1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2" fontId="0" fillId="2" borderId="34" xfId="0" applyNumberFormat="1" applyFill="1" applyBorder="1"/>
    <xf numFmtId="2" fontId="0" fillId="2" borderId="57" xfId="0" applyNumberFormat="1" applyFill="1" applyBorder="1"/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26" fillId="0" borderId="0" xfId="0" applyFont="1" applyFill="1" applyAlignment="1"/>
    <xf numFmtId="0" fontId="27" fillId="0" borderId="0" xfId="0" applyFont="1" applyFill="1" applyAlignment="1"/>
    <xf numFmtId="165" fontId="28" fillId="0" borderId="0" xfId="1" applyFont="1"/>
    <xf numFmtId="0" fontId="28" fillId="0" borderId="0" xfId="0" applyFont="1"/>
    <xf numFmtId="0" fontId="29" fillId="0" borderId="0" xfId="0" applyFont="1" applyAlignment="1"/>
    <xf numFmtId="0" fontId="27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7" fillId="0" borderId="18" xfId="0" applyFont="1" applyFill="1" applyBorder="1" applyAlignment="1">
      <alignment vertical="center" textRotation="90"/>
    </xf>
    <xf numFmtId="165" fontId="27" fillId="0" borderId="30" xfId="1" applyFont="1" applyBorder="1" applyAlignment="1">
      <alignment horizontal="center" vertical="center"/>
    </xf>
    <xf numFmtId="165" fontId="27" fillId="0" borderId="6" xfId="1" applyFont="1" applyBorder="1" applyAlignment="1">
      <alignment horizontal="center" vertical="center"/>
    </xf>
    <xf numFmtId="165" fontId="31" fillId="0" borderId="40" xfId="0" applyNumberFormat="1" applyFont="1" applyBorder="1" applyAlignment="1">
      <alignment horizontal="center" vertical="center"/>
    </xf>
    <xf numFmtId="165" fontId="31" fillId="0" borderId="7" xfId="1" applyNumberFormat="1" applyFont="1" applyBorder="1" applyAlignment="1">
      <alignment horizontal="center" vertical="center"/>
    </xf>
    <xf numFmtId="165" fontId="33" fillId="0" borderId="0" xfId="1" applyFont="1"/>
    <xf numFmtId="168" fontId="28" fillId="0" borderId="0" xfId="0" applyNumberFormat="1" applyFont="1"/>
    <xf numFmtId="165" fontId="31" fillId="0" borderId="41" xfId="0" applyNumberFormat="1" applyFont="1" applyBorder="1" applyAlignment="1">
      <alignment horizontal="center" vertical="center"/>
    </xf>
    <xf numFmtId="165" fontId="31" fillId="0" borderId="42" xfId="0" applyNumberFormat="1" applyFont="1" applyBorder="1" applyAlignment="1">
      <alignment horizontal="center" vertical="center"/>
    </xf>
    <xf numFmtId="0" fontId="28" fillId="0" borderId="0" xfId="0" applyFont="1" applyBorder="1"/>
    <xf numFmtId="165" fontId="33" fillId="0" borderId="0" xfId="0" applyNumberFormat="1" applyFont="1" applyFill="1" applyBorder="1" applyAlignment="1">
      <alignment horizontal="center" vertical="center"/>
    </xf>
    <xf numFmtId="0" fontId="28" fillId="0" borderId="55" xfId="0" applyFont="1" applyBorder="1"/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31" fillId="0" borderId="55" xfId="0" applyFont="1" applyBorder="1"/>
    <xf numFmtId="0" fontId="31" fillId="0" borderId="0" xfId="0" applyFont="1"/>
    <xf numFmtId="0" fontId="31" fillId="0" borderId="0" xfId="0" applyFont="1" applyBorder="1"/>
    <xf numFmtId="0" fontId="35" fillId="0" borderId="0" xfId="0" applyFont="1" applyBorder="1"/>
    <xf numFmtId="0" fontId="28" fillId="0" borderId="55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7" fillId="0" borderId="20" xfId="0" applyFont="1" applyBorder="1" applyAlignment="1">
      <alignment horizontal="left" vertical="justify" wrapText="1"/>
    </xf>
    <xf numFmtId="0" fontId="28" fillId="0" borderId="7" xfId="0" applyFont="1" applyBorder="1"/>
    <xf numFmtId="0" fontId="28" fillId="0" borderId="34" xfId="0" applyFont="1" applyBorder="1"/>
    <xf numFmtId="0" fontId="37" fillId="0" borderId="0" xfId="0" applyFont="1" applyBorder="1" applyAlignment="1">
      <alignment horizontal="left" vertical="justify" wrapText="1"/>
    </xf>
    <xf numFmtId="0" fontId="38" fillId="0" borderId="0" xfId="0" applyFont="1" applyFill="1" applyBorder="1" applyAlignment="1">
      <alignment horizontal="center" vertical="center" textRotation="90"/>
    </xf>
    <xf numFmtId="0" fontId="30" fillId="0" borderId="64" xfId="0" applyFont="1" applyFill="1" applyBorder="1" applyAlignment="1">
      <alignment vertical="center" textRotation="90"/>
    </xf>
    <xf numFmtId="0" fontId="30" fillId="0" borderId="8" xfId="0" applyFont="1" applyBorder="1" applyAlignment="1">
      <alignment horizontal="center" vertical="center" wrapText="1"/>
    </xf>
    <xf numFmtId="0" fontId="38" fillId="0" borderId="0" xfId="0" applyFont="1" applyFill="1" applyBorder="1" applyAlignment="1">
      <alignment vertical="center" textRotation="90"/>
    </xf>
    <xf numFmtId="0" fontId="8" fillId="0" borderId="16" xfId="0" applyFont="1" applyBorder="1" applyAlignment="1">
      <alignment vertical="center"/>
    </xf>
    <xf numFmtId="0" fontId="9" fillId="0" borderId="30" xfId="0" applyFont="1" applyFill="1" applyBorder="1" applyAlignment="1">
      <alignment horizontal="center" vertical="center" wrapText="1" shrinkToFit="1"/>
    </xf>
    <xf numFmtId="0" fontId="9" fillId="0" borderId="66" xfId="0" applyFont="1" applyFill="1" applyBorder="1" applyAlignment="1">
      <alignment horizontal="center" vertical="center" wrapText="1" shrinkToFit="1"/>
    </xf>
    <xf numFmtId="2" fontId="0" fillId="0" borderId="16" xfId="0" applyNumberFormat="1" applyBorder="1" applyAlignment="1">
      <alignment horizontal="right" vertical="center"/>
    </xf>
    <xf numFmtId="2" fontId="0" fillId="0" borderId="21" xfId="0" applyNumberFormat="1" applyBorder="1"/>
    <xf numFmtId="2" fontId="0" fillId="0" borderId="23" xfId="0" applyNumberFormat="1" applyBorder="1"/>
    <xf numFmtId="2" fontId="0" fillId="0" borderId="21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2" fontId="8" fillId="0" borderId="12" xfId="0" applyNumberFormat="1" applyFont="1" applyFill="1" applyBorder="1" applyAlignment="1">
      <alignment horizontal="right" vertical="center" wrapText="1" shrinkToFit="1"/>
    </xf>
    <xf numFmtId="2" fontId="0" fillId="0" borderId="22" xfId="0" applyNumberFormat="1" applyBorder="1"/>
    <xf numFmtId="2" fontId="0" fillId="0" borderId="58" xfId="0" applyNumberFormat="1" applyBorder="1"/>
    <xf numFmtId="2" fontId="0" fillId="0" borderId="22" xfId="0" applyNumberFormat="1" applyBorder="1" applyAlignment="1">
      <alignment horizontal="right" vertical="center"/>
    </xf>
    <xf numFmtId="2" fontId="0" fillId="0" borderId="26" xfId="0" applyNumberFormat="1" applyBorder="1" applyAlignment="1">
      <alignment horizontal="right" vertical="center"/>
    </xf>
    <xf numFmtId="2" fontId="0" fillId="0" borderId="58" xfId="0" applyNumberFormat="1" applyBorder="1" applyAlignment="1">
      <alignment horizontal="right" vertical="center"/>
    </xf>
    <xf numFmtId="2" fontId="0" fillId="0" borderId="11" xfId="0" applyNumberFormat="1" applyBorder="1" applyAlignment="1">
      <alignment horizontal="right" vertical="center"/>
    </xf>
    <xf numFmtId="0" fontId="8" fillId="0" borderId="68" xfId="0" applyFont="1" applyFill="1" applyBorder="1" applyAlignment="1">
      <alignment horizontal="left" vertical="center" wrapText="1" shrinkToFit="1"/>
    </xf>
    <xf numFmtId="0" fontId="8" fillId="0" borderId="57" xfId="0" applyFont="1" applyFill="1" applyBorder="1" applyAlignment="1">
      <alignment horizontal="left" vertical="center" wrapText="1" shrinkToFit="1"/>
    </xf>
    <xf numFmtId="0" fontId="8" fillId="0" borderId="69" xfId="0" applyFont="1" applyFill="1" applyBorder="1" applyAlignment="1">
      <alignment horizontal="left" vertical="center" wrapText="1" shrinkToFit="1"/>
    </xf>
    <xf numFmtId="0" fontId="8" fillId="0" borderId="24" xfId="0" applyFont="1" applyFill="1" applyBorder="1" applyAlignment="1">
      <alignment horizontal="left" vertical="center" wrapText="1" shrinkToFit="1"/>
    </xf>
    <xf numFmtId="0" fontId="8" fillId="0" borderId="24" xfId="0" applyFont="1" applyFill="1" applyBorder="1" applyAlignment="1">
      <alignment vertical="center" wrapText="1" shrinkToFit="1"/>
    </xf>
    <xf numFmtId="0" fontId="18" fillId="0" borderId="0" xfId="0" applyFont="1" applyFill="1" applyAlignment="1"/>
    <xf numFmtId="165" fontId="3" fillId="0" borderId="0" xfId="1" applyFont="1" applyFill="1"/>
    <xf numFmtId="2" fontId="8" fillId="0" borderId="1" xfId="0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2" fontId="8" fillId="0" borderId="32" xfId="0" applyNumberFormat="1" applyFont="1" applyFill="1" applyBorder="1" applyAlignment="1">
      <alignment horizontal="right" vertical="center" wrapText="1"/>
    </xf>
    <xf numFmtId="2" fontId="8" fillId="0" borderId="28" xfId="0" applyNumberFormat="1" applyFont="1" applyFill="1" applyBorder="1" applyAlignment="1">
      <alignment horizontal="right" vertical="center" wrapText="1"/>
    </xf>
    <xf numFmtId="0" fontId="35" fillId="0" borderId="0" xfId="0" applyFont="1" applyFill="1" applyBorder="1"/>
    <xf numFmtId="0" fontId="36" fillId="0" borderId="0" xfId="0" applyFont="1" applyFill="1" applyBorder="1"/>
    <xf numFmtId="0" fontId="28" fillId="0" borderId="0" xfId="0" applyFont="1" applyFill="1" applyBorder="1"/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0" fontId="31" fillId="0" borderId="46" xfId="0" applyFont="1" applyFill="1" applyBorder="1" applyAlignment="1">
      <alignment vertical="center" wrapText="1"/>
    </xf>
    <xf numFmtId="0" fontId="31" fillId="0" borderId="47" xfId="0" applyFont="1" applyFill="1" applyBorder="1" applyAlignment="1">
      <alignment vertical="center" shrinkToFit="1"/>
    </xf>
    <xf numFmtId="0" fontId="31" fillId="0" borderId="47" xfId="0" applyFont="1" applyFill="1" applyBorder="1" applyAlignment="1">
      <alignment vertical="justify"/>
    </xf>
    <xf numFmtId="0" fontId="31" fillId="0" borderId="43" xfId="0" applyFont="1" applyFill="1" applyBorder="1" applyAlignment="1">
      <alignment vertical="justify"/>
    </xf>
    <xf numFmtId="49" fontId="30" fillId="5" borderId="41" xfId="0" applyNumberFormat="1" applyFont="1" applyFill="1" applyBorder="1" applyAlignment="1">
      <alignment vertical="center"/>
    </xf>
    <xf numFmtId="49" fontId="30" fillId="11" borderId="41" xfId="0" applyNumberFormat="1" applyFont="1" applyFill="1" applyBorder="1" applyAlignment="1">
      <alignment vertical="center"/>
    </xf>
    <xf numFmtId="49" fontId="30" fillId="6" borderId="41" xfId="0" applyNumberFormat="1" applyFont="1" applyFill="1" applyBorder="1" applyAlignment="1">
      <alignment vertical="center"/>
    </xf>
    <xf numFmtId="49" fontId="30" fillId="12" borderId="41" xfId="0" applyNumberFormat="1" applyFont="1" applyFill="1" applyBorder="1" applyAlignment="1">
      <alignment vertical="center"/>
    </xf>
    <xf numFmtId="165" fontId="31" fillId="0" borderId="0" xfId="1" applyNumberFormat="1" applyFont="1" applyBorder="1" applyAlignment="1">
      <alignment horizontal="center" vertical="center"/>
    </xf>
    <xf numFmtId="2" fontId="8" fillId="0" borderId="48" xfId="0" applyNumberFormat="1" applyFont="1" applyFill="1" applyBorder="1" applyAlignment="1">
      <alignment horizontal="center" vertical="center"/>
    </xf>
    <xf numFmtId="165" fontId="8" fillId="0" borderId="20" xfId="1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168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39" fillId="0" borderId="0" xfId="1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165" fontId="28" fillId="2" borderId="4" xfId="1" applyFont="1" applyFill="1" applyBorder="1" applyAlignment="1">
      <alignment vertical="center"/>
    </xf>
    <xf numFmtId="0" fontId="28" fillId="0" borderId="0" xfId="0" applyFont="1" applyBorder="1" applyAlignment="1"/>
    <xf numFmtId="0" fontId="35" fillId="0" borderId="0" xfId="1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27" fillId="0" borderId="7" xfId="0" applyFont="1" applyBorder="1" applyAlignment="1">
      <alignment horizontal="left" vertical="justify" wrapText="1"/>
    </xf>
    <xf numFmtId="165" fontId="28" fillId="0" borderId="7" xfId="1" applyFont="1" applyBorder="1"/>
    <xf numFmtId="165" fontId="27" fillId="0" borderId="7" xfId="1" applyFont="1" applyFill="1" applyBorder="1"/>
    <xf numFmtId="0" fontId="27" fillId="0" borderId="0" xfId="0" applyFont="1" applyBorder="1" applyAlignment="1">
      <alignment horizontal="left" vertical="justify" wrapText="1"/>
    </xf>
    <xf numFmtId="165" fontId="28" fillId="0" borderId="0" xfId="1" applyFont="1" applyBorder="1"/>
    <xf numFmtId="165" fontId="27" fillId="0" borderId="0" xfId="1" applyFont="1" applyFill="1" applyBorder="1"/>
    <xf numFmtId="0" fontId="34" fillId="4" borderId="10" xfId="0" applyFont="1" applyFill="1" applyBorder="1" applyAlignment="1">
      <alignment vertical="center"/>
    </xf>
    <xf numFmtId="0" fontId="34" fillId="0" borderId="12" xfId="0" applyFont="1" applyBorder="1" applyAlignment="1">
      <alignment horizontal="center" vertical="center" shrinkToFit="1"/>
    </xf>
    <xf numFmtId="165" fontId="34" fillId="0" borderId="12" xfId="1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168" fontId="28" fillId="0" borderId="48" xfId="1" applyNumberFormat="1" applyFont="1" applyFill="1" applyBorder="1" applyAlignment="1">
      <alignment horizontal="center" vertical="center"/>
    </xf>
    <xf numFmtId="165" fontId="28" fillId="0" borderId="48" xfId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31" fillId="0" borderId="0" xfId="0" applyFont="1" applyFill="1" applyBorder="1"/>
    <xf numFmtId="165" fontId="28" fillId="0" borderId="0" xfId="1" applyFont="1" applyFill="1" applyBorder="1" applyAlignment="1">
      <alignment vertical="center"/>
    </xf>
    <xf numFmtId="0" fontId="35" fillId="0" borderId="0" xfId="0" applyFont="1" applyBorder="1" applyAlignment="1">
      <alignment horizontal="left" vertical="center"/>
    </xf>
    <xf numFmtId="165" fontId="32" fillId="0" borderId="0" xfId="1" applyFont="1" applyAlignment="1">
      <alignment wrapText="1"/>
    </xf>
    <xf numFmtId="165" fontId="28" fillId="0" borderId="4" xfId="1" applyFont="1" applyFill="1" applyBorder="1" applyAlignment="1">
      <alignment vertical="center"/>
    </xf>
    <xf numFmtId="0" fontId="8" fillId="0" borderId="0" xfId="0" applyFont="1" applyFill="1" applyBorder="1" applyAlignment="1">
      <alignment vertical="justify"/>
    </xf>
    <xf numFmtId="0" fontId="1" fillId="0" borderId="0" xfId="0" applyFont="1" applyFill="1"/>
    <xf numFmtId="168" fontId="1" fillId="0" borderId="0" xfId="0" applyNumberFormat="1" applyFont="1" applyFill="1"/>
    <xf numFmtId="0" fontId="8" fillId="0" borderId="16" xfId="0" applyFont="1" applyFill="1" applyBorder="1" applyAlignment="1">
      <alignment vertical="justify"/>
    </xf>
    <xf numFmtId="0" fontId="8" fillId="0" borderId="48" xfId="0" applyFont="1" applyFill="1" applyBorder="1" applyAlignment="1">
      <alignment vertical="justify"/>
    </xf>
    <xf numFmtId="168" fontId="8" fillId="0" borderId="48" xfId="1" applyNumberFormat="1" applyFont="1" applyFill="1" applyBorder="1" applyAlignment="1">
      <alignment horizontal="center" vertical="center"/>
    </xf>
    <xf numFmtId="165" fontId="8" fillId="0" borderId="48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8" fillId="0" borderId="26" xfId="0" applyNumberFormat="1" applyFont="1" applyBorder="1" applyAlignment="1">
      <alignment vertical="center"/>
    </xf>
    <xf numFmtId="0" fontId="28" fillId="0" borderId="15" xfId="0" applyFont="1" applyFill="1" applyBorder="1" applyAlignment="1">
      <alignment horizontal="left" vertical="center" wrapText="1"/>
    </xf>
    <xf numFmtId="0" fontId="42" fillId="9" borderId="48" xfId="0" applyFont="1" applyFill="1" applyBorder="1" applyAlignment="1">
      <alignment vertical="center" wrapText="1"/>
    </xf>
    <xf numFmtId="168" fontId="44" fillId="0" borderId="16" xfId="1" applyNumberFormat="1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165" fontId="8" fillId="0" borderId="28" xfId="1" applyFont="1" applyFill="1" applyBorder="1" applyAlignment="1">
      <alignment horizontal="right" vertical="center" wrapText="1" shrinkToFit="1"/>
    </xf>
    <xf numFmtId="0" fontId="16" fillId="0" borderId="52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left" vertical="center" wrapText="1" shrinkToFit="1"/>
    </xf>
    <xf numFmtId="2" fontId="0" fillId="0" borderId="53" xfId="0" applyNumberFormat="1" applyBorder="1"/>
    <xf numFmtId="2" fontId="0" fillId="0" borderId="55" xfId="0" applyNumberFormat="1" applyBorder="1"/>
    <xf numFmtId="2" fontId="17" fillId="0" borderId="52" xfId="0" applyNumberFormat="1" applyFont="1" applyBorder="1"/>
    <xf numFmtId="0" fontId="49" fillId="0" borderId="0" xfId="0" applyFont="1"/>
    <xf numFmtId="0" fontId="46" fillId="0" borderId="0" xfId="0" applyFont="1"/>
    <xf numFmtId="0" fontId="48" fillId="0" borderId="18" xfId="0" applyFont="1" applyFill="1" applyBorder="1" applyAlignment="1">
      <alignment horizontal="left" vertical="center" wrapText="1" shrinkToFit="1"/>
    </xf>
    <xf numFmtId="0" fontId="48" fillId="0" borderId="45" xfId="0" applyFont="1" applyFill="1" applyBorder="1" applyAlignment="1">
      <alignment horizontal="left" vertical="center" wrapText="1" shrinkToFit="1"/>
    </xf>
    <xf numFmtId="0" fontId="48" fillId="0" borderId="44" xfId="0" applyFont="1" applyFill="1" applyBorder="1" applyAlignment="1">
      <alignment horizontal="left" vertical="center" wrapText="1" shrinkToFit="1"/>
    </xf>
    <xf numFmtId="0" fontId="48" fillId="0" borderId="17" xfId="0" applyFont="1" applyFill="1" applyBorder="1" applyAlignment="1">
      <alignment horizontal="left" vertical="center" wrapText="1" shrinkToFit="1"/>
    </xf>
    <xf numFmtId="0" fontId="48" fillId="0" borderId="0" xfId="0" applyFont="1" applyBorder="1" applyAlignment="1">
      <alignment vertical="center"/>
    </xf>
    <xf numFmtId="0" fontId="42" fillId="15" borderId="19" xfId="0" applyFont="1" applyFill="1" applyBorder="1" applyAlignment="1">
      <alignment horizontal="center" vertical="center"/>
    </xf>
    <xf numFmtId="0" fontId="42" fillId="15" borderId="48" xfId="0" applyFont="1" applyFill="1" applyBorder="1" applyAlignment="1">
      <alignment vertical="center" wrapText="1"/>
    </xf>
    <xf numFmtId="2" fontId="42" fillId="15" borderId="48" xfId="0" applyNumberFormat="1" applyFont="1" applyFill="1" applyBorder="1" applyAlignment="1">
      <alignment horizontal="center" vertical="center"/>
    </xf>
    <xf numFmtId="165" fontId="42" fillId="15" borderId="20" xfId="1" applyNumberFormat="1" applyFont="1" applyFill="1" applyBorder="1" applyAlignment="1">
      <alignment horizontal="center" vertical="center" shrinkToFit="1"/>
    </xf>
    <xf numFmtId="2" fontId="8" fillId="0" borderId="53" xfId="0" applyNumberFormat="1" applyFont="1" applyFill="1" applyBorder="1" applyAlignment="1">
      <alignment horizontal="center" vertical="center"/>
    </xf>
    <xf numFmtId="165" fontId="8" fillId="0" borderId="55" xfId="1" applyNumberFormat="1" applyFont="1" applyFill="1" applyBorder="1" applyAlignment="1">
      <alignment horizontal="center" vertical="center" shrinkToFit="1"/>
    </xf>
    <xf numFmtId="165" fontId="42" fillId="9" borderId="12" xfId="1" applyNumberFormat="1" applyFont="1" applyFill="1" applyBorder="1" applyAlignment="1">
      <alignment horizontal="center" vertical="center"/>
    </xf>
    <xf numFmtId="165" fontId="42" fillId="9" borderId="11" xfId="1" applyNumberFormat="1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vertical="center"/>
    </xf>
    <xf numFmtId="0" fontId="7" fillId="9" borderId="11" xfId="0" applyFont="1" applyFill="1" applyBorder="1" applyAlignment="1">
      <alignment vertical="center"/>
    </xf>
    <xf numFmtId="0" fontId="42" fillId="9" borderId="12" xfId="0" applyFont="1" applyFill="1" applyBorder="1"/>
    <xf numFmtId="0" fontId="42" fillId="9" borderId="11" xfId="0" applyFont="1" applyFill="1" applyBorder="1"/>
    <xf numFmtId="0" fontId="49" fillId="14" borderId="16" xfId="0" applyFont="1" applyFill="1" applyBorder="1"/>
    <xf numFmtId="168" fontId="42" fillId="9" borderId="10" xfId="0" applyNumberFormat="1" applyFont="1" applyFill="1" applyBorder="1"/>
    <xf numFmtId="0" fontId="24" fillId="0" borderId="0" xfId="0" applyFont="1" applyAlignment="1"/>
    <xf numFmtId="0" fontId="8" fillId="0" borderId="0" xfId="0" applyFont="1"/>
    <xf numFmtId="0" fontId="46" fillId="0" borderId="0" xfId="0" applyFont="1" applyAlignment="1"/>
    <xf numFmtId="0" fontId="49" fillId="0" borderId="0" xfId="0" applyFont="1" applyAlignment="1">
      <alignment horizontal="center" vertical="center"/>
    </xf>
    <xf numFmtId="0" fontId="52" fillId="0" borderId="0" xfId="0" applyFont="1" applyAlignment="1"/>
    <xf numFmtId="0" fontId="46" fillId="0" borderId="0" xfId="0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0" fillId="0" borderId="0" xfId="0" applyBorder="1"/>
    <xf numFmtId="0" fontId="0" fillId="2" borderId="0" xfId="0" applyFill="1" applyBorder="1"/>
    <xf numFmtId="3" fontId="8" fillId="2" borderId="0" xfId="0" applyNumberFormat="1" applyFont="1" applyFill="1" applyBorder="1" applyAlignment="1">
      <alignment horizontal="center" vertical="center"/>
    </xf>
    <xf numFmtId="168" fontId="48" fillId="15" borderId="0" xfId="1" applyNumberFormat="1" applyFont="1" applyFill="1" applyBorder="1" applyAlignment="1">
      <alignment horizontal="center" vertical="center" wrapText="1" shrinkToFit="1"/>
    </xf>
    <xf numFmtId="168" fontId="48" fillId="15" borderId="55" xfId="1" applyNumberFormat="1" applyFont="1" applyFill="1" applyBorder="1" applyAlignment="1">
      <alignment horizontal="center" vertical="center" wrapText="1" shrinkToFit="1"/>
    </xf>
    <xf numFmtId="168" fontId="48" fillId="15" borderId="38" xfId="1" applyNumberFormat="1" applyFont="1" applyFill="1" applyBorder="1" applyAlignment="1">
      <alignment horizontal="center" vertical="center" wrapText="1" shrinkToFit="1"/>
    </xf>
    <xf numFmtId="0" fontId="48" fillId="0" borderId="49" xfId="0" applyFont="1" applyFill="1" applyBorder="1" applyAlignment="1">
      <alignment horizontal="left" vertical="center" wrapText="1" shrinkToFit="1"/>
    </xf>
    <xf numFmtId="0" fontId="8" fillId="0" borderId="34" xfId="0" applyFont="1" applyFill="1" applyBorder="1" applyAlignment="1">
      <alignment horizontal="left" vertical="center" wrapText="1" shrinkToFit="1"/>
    </xf>
    <xf numFmtId="2" fontId="0" fillId="0" borderId="48" xfId="0" applyNumberFormat="1" applyBorder="1"/>
    <xf numFmtId="2" fontId="17" fillId="0" borderId="31" xfId="0" applyNumberFormat="1" applyFont="1" applyBorder="1"/>
    <xf numFmtId="2" fontId="1" fillId="0" borderId="19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left" vertical="center" wrapText="1" shrinkToFit="1"/>
    </xf>
    <xf numFmtId="0" fontId="16" fillId="0" borderId="49" xfId="0" applyFont="1" applyFill="1" applyBorder="1" applyAlignment="1">
      <alignment horizontal="left" vertical="center" wrapText="1" shrinkToFit="1"/>
    </xf>
    <xf numFmtId="2" fontId="1" fillId="0" borderId="39" xfId="0" applyNumberFormat="1" applyFont="1" applyFill="1" applyBorder="1" applyAlignment="1">
      <alignment horizontal="center" vertical="center"/>
    </xf>
    <xf numFmtId="2" fontId="2" fillId="0" borderId="24" xfId="0" applyNumberFormat="1" applyFont="1" applyFill="1" applyBorder="1" applyAlignment="1">
      <alignment horizontal="center" vertical="center"/>
    </xf>
    <xf numFmtId="0" fontId="34" fillId="17" borderId="17" xfId="0" applyFont="1" applyFill="1" applyBorder="1" applyAlignment="1">
      <alignment horizontal="center" vertical="center" wrapText="1"/>
    </xf>
    <xf numFmtId="0" fontId="34" fillId="20" borderId="10" xfId="0" applyFont="1" applyFill="1" applyBorder="1" applyAlignment="1">
      <alignment vertical="center" shrinkToFit="1"/>
    </xf>
    <xf numFmtId="0" fontId="30" fillId="0" borderId="0" xfId="0" applyFont="1" applyFill="1" applyBorder="1" applyAlignment="1">
      <alignment vertical="center" textRotation="90"/>
    </xf>
    <xf numFmtId="0" fontId="30" fillId="0" borderId="0" xfId="0" applyFont="1" applyBorder="1" applyAlignment="1"/>
    <xf numFmtId="165" fontId="33" fillId="0" borderId="0" xfId="1" applyFont="1" applyBorder="1"/>
    <xf numFmtId="168" fontId="55" fillId="0" borderId="0" xfId="1" applyNumberFormat="1" applyFont="1" applyFill="1" applyBorder="1" applyAlignment="1">
      <alignment horizontal="center" vertical="center"/>
    </xf>
    <xf numFmtId="165" fontId="55" fillId="0" borderId="0" xfId="1" applyNumberFormat="1" applyFont="1" applyFill="1" applyBorder="1" applyAlignment="1">
      <alignment horizontal="center" vertical="center"/>
    </xf>
    <xf numFmtId="165" fontId="55" fillId="0" borderId="0" xfId="1" applyFont="1" applyFill="1" applyBorder="1" applyAlignment="1">
      <alignment horizontal="center" vertical="center"/>
    </xf>
    <xf numFmtId="0" fontId="61" fillId="21" borderId="10" xfId="0" applyFont="1" applyFill="1" applyBorder="1" applyAlignment="1">
      <alignment horizontal="center" vertical="center"/>
    </xf>
    <xf numFmtId="0" fontId="53" fillId="15" borderId="16" xfId="0" applyFont="1" applyFill="1" applyBorder="1"/>
    <xf numFmtId="0" fontId="8" fillId="15" borderId="21" xfId="0" applyFont="1" applyFill="1" applyBorder="1" applyAlignment="1">
      <alignment vertical="center"/>
    </xf>
    <xf numFmtId="2" fontId="8" fillId="15" borderId="22" xfId="0" applyNumberFormat="1" applyFont="1" applyFill="1" applyBorder="1" applyAlignment="1">
      <alignment vertical="center"/>
    </xf>
    <xf numFmtId="2" fontId="17" fillId="15" borderId="40" xfId="0" applyNumberFormat="1" applyFont="1" applyFill="1" applyBorder="1" applyAlignment="1">
      <alignment vertical="center"/>
    </xf>
    <xf numFmtId="0" fontId="45" fillId="16" borderId="17" xfId="0" applyFont="1" applyFill="1" applyBorder="1" applyAlignment="1">
      <alignment horizontal="left" vertical="center" shrinkToFit="1"/>
    </xf>
    <xf numFmtId="0" fontId="16" fillId="3" borderId="1" xfId="0" applyFont="1" applyFill="1" applyBorder="1" applyAlignment="1">
      <alignment horizontal="center" vertical="center" wrapText="1"/>
    </xf>
    <xf numFmtId="0" fontId="16" fillId="19" borderId="1" xfId="0" applyFont="1" applyFill="1" applyBorder="1" applyAlignment="1">
      <alignment horizontal="center" vertical="center" wrapText="1"/>
    </xf>
    <xf numFmtId="0" fontId="0" fillId="22" borderId="0" xfId="0" applyFill="1"/>
    <xf numFmtId="0" fontId="0" fillId="22" borderId="7" xfId="0" applyFill="1" applyBorder="1"/>
    <xf numFmtId="0" fontId="23" fillId="0" borderId="0" xfId="0" applyFont="1" applyFill="1"/>
    <xf numFmtId="0" fontId="0" fillId="22" borderId="0" xfId="0" applyFill="1" applyBorder="1"/>
    <xf numFmtId="3" fontId="8" fillId="0" borderId="16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>
      <alignment vertical="center"/>
    </xf>
    <xf numFmtId="2" fontId="0" fillId="0" borderId="16" xfId="0" applyNumberFormat="1" applyFill="1" applyBorder="1"/>
    <xf numFmtId="2" fontId="50" fillId="0" borderId="26" xfId="0" applyNumberFormat="1" applyFont="1" applyFill="1" applyBorder="1"/>
    <xf numFmtId="2" fontId="17" fillId="0" borderId="41" xfId="0" applyNumberFormat="1" applyFont="1" applyFill="1" applyBorder="1"/>
    <xf numFmtId="0" fontId="42" fillId="0" borderId="7" xfId="0" applyFont="1" applyFill="1" applyBorder="1" applyAlignment="1">
      <alignment horizontal="left" vertical="center" wrapText="1" shrinkToFit="1"/>
    </xf>
    <xf numFmtId="0" fontId="42" fillId="0" borderId="47" xfId="0" applyFont="1" applyFill="1" applyBorder="1" applyAlignment="1">
      <alignment horizontal="left" vertical="center" wrapText="1" shrinkToFit="1"/>
    </xf>
    <xf numFmtId="0" fontId="7" fillId="0" borderId="47" xfId="0" applyFont="1" applyFill="1" applyBorder="1" applyAlignment="1">
      <alignment horizontal="left" vertical="center" wrapText="1" shrinkToFit="1"/>
    </xf>
    <xf numFmtId="0" fontId="7" fillId="0" borderId="0" xfId="0" applyFont="1" applyFill="1" applyBorder="1" applyAlignment="1">
      <alignment horizontal="left" vertical="center" wrapText="1" shrinkToFit="1"/>
    </xf>
    <xf numFmtId="165" fontId="8" fillId="0" borderId="71" xfId="1" applyFont="1" applyFill="1" applyBorder="1" applyAlignment="1">
      <alignment horizontal="right" vertical="center" wrapText="1" shrinkToFit="1"/>
    </xf>
    <xf numFmtId="165" fontId="8" fillId="0" borderId="72" xfId="1" applyFont="1" applyFill="1" applyBorder="1" applyAlignment="1">
      <alignment horizontal="right" vertical="center" wrapText="1" shrinkToFit="1"/>
    </xf>
    <xf numFmtId="165" fontId="8" fillId="0" borderId="70" xfId="1" applyFont="1" applyFill="1" applyBorder="1" applyAlignment="1">
      <alignment horizontal="right" vertical="center" wrapText="1" shrinkToFit="1"/>
    </xf>
    <xf numFmtId="0" fontId="6" fillId="0" borderId="7" xfId="0" applyFont="1" applyFill="1" applyBorder="1" applyAlignment="1">
      <alignment vertical="center" wrapText="1"/>
    </xf>
    <xf numFmtId="3" fontId="8" fillId="0" borderId="34" xfId="0" applyNumberFormat="1" applyFont="1" applyFill="1" applyBorder="1" applyAlignment="1">
      <alignment horizontal="center" vertical="center"/>
    </xf>
    <xf numFmtId="0" fontId="28" fillId="0" borderId="19" xfId="0" applyFont="1" applyFill="1" applyBorder="1"/>
    <xf numFmtId="0" fontId="28" fillId="0" borderId="27" xfId="0" applyFont="1" applyFill="1" applyBorder="1" applyAlignment="1">
      <alignment vertical="center" shrinkToFit="1"/>
    </xf>
    <xf numFmtId="0" fontId="28" fillId="0" borderId="27" xfId="0" applyFont="1" applyFill="1" applyBorder="1" applyAlignment="1">
      <alignment vertical="center" wrapText="1" shrinkToFit="1"/>
    </xf>
    <xf numFmtId="168" fontId="28" fillId="0" borderId="16" xfId="1" applyNumberFormat="1" applyFont="1" applyFill="1" applyBorder="1" applyAlignment="1">
      <alignment horizontal="center" vertical="center"/>
    </xf>
    <xf numFmtId="165" fontId="28" fillId="0" borderId="47" xfId="1" applyNumberFormat="1" applyFont="1" applyBorder="1" applyAlignment="1">
      <alignment horizontal="center" vertical="center"/>
    </xf>
    <xf numFmtId="165" fontId="28" fillId="0" borderId="16" xfId="1" applyNumberFormat="1" applyFont="1" applyBorder="1" applyAlignment="1">
      <alignment horizontal="center" vertical="center"/>
    </xf>
    <xf numFmtId="165" fontId="8" fillId="0" borderId="16" xfId="1" applyNumberFormat="1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vertical="justify"/>
    </xf>
    <xf numFmtId="168" fontId="8" fillId="0" borderId="16" xfId="1" applyNumberFormat="1" applyFont="1" applyFill="1" applyBorder="1" applyAlignment="1">
      <alignment horizontal="center" vertical="center"/>
    </xf>
    <xf numFmtId="165" fontId="40" fillId="0" borderId="0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horizontal="center" vertical="center" shrinkToFit="1"/>
    </xf>
    <xf numFmtId="165" fontId="28" fillId="0" borderId="0" xfId="1" applyFont="1" applyFill="1" applyBorder="1" applyAlignment="1">
      <alignment vertical="center" wrapText="1" shrinkToFit="1"/>
    </xf>
    <xf numFmtId="165" fontId="58" fillId="0" borderId="0" xfId="0" applyNumberFormat="1" applyFont="1" applyFill="1" applyBorder="1" applyAlignment="1">
      <alignment vertical="center"/>
    </xf>
    <xf numFmtId="164" fontId="56" fillId="0" borderId="0" xfId="0" applyNumberFormat="1" applyFont="1" applyBorder="1" applyAlignment="1">
      <alignment horizontal="left" vertical="center"/>
    </xf>
    <xf numFmtId="165" fontId="28" fillId="0" borderId="16" xfId="1" applyFont="1" applyFill="1" applyBorder="1" applyAlignment="1">
      <alignment horizontal="left" vertical="center"/>
    </xf>
    <xf numFmtId="165" fontId="35" fillId="0" borderId="0" xfId="1" applyFont="1" applyBorder="1"/>
    <xf numFmtId="165" fontId="32" fillId="0" borderId="0" xfId="1" applyFont="1" applyBorder="1"/>
    <xf numFmtId="0" fontId="34" fillId="0" borderId="2" xfId="0" applyFont="1" applyBorder="1" applyAlignment="1">
      <alignment horizontal="center" vertical="center" wrapText="1"/>
    </xf>
    <xf numFmtId="0" fontId="28" fillId="0" borderId="19" xfId="0" applyFont="1" applyBorder="1" applyAlignment="1">
      <alignment vertical="justify"/>
    </xf>
    <xf numFmtId="165" fontId="27" fillId="0" borderId="3" xfId="1" applyNumberFormat="1" applyFont="1" applyBorder="1" applyAlignment="1">
      <alignment horizontal="center" vertical="center"/>
    </xf>
    <xf numFmtId="0" fontId="28" fillId="0" borderId="27" xfId="0" applyFont="1" applyFill="1" applyBorder="1" applyAlignment="1">
      <alignment vertical="justify"/>
    </xf>
    <xf numFmtId="0" fontId="27" fillId="16" borderId="45" xfId="0" applyFont="1" applyFill="1" applyBorder="1" applyAlignment="1">
      <alignment vertical="justify"/>
    </xf>
    <xf numFmtId="168" fontId="27" fillId="16" borderId="23" xfId="1" applyNumberFormat="1" applyFont="1" applyFill="1" applyBorder="1" applyAlignment="1">
      <alignment horizontal="center" vertical="center"/>
    </xf>
    <xf numFmtId="165" fontId="27" fillId="16" borderId="43" xfId="1" applyNumberFormat="1" applyFont="1" applyFill="1" applyBorder="1" applyAlignment="1">
      <alignment horizontal="center" vertical="center"/>
    </xf>
    <xf numFmtId="165" fontId="27" fillId="16" borderId="23" xfId="1" applyNumberFormat="1" applyFont="1" applyFill="1" applyBorder="1" applyAlignment="1">
      <alignment horizontal="center" vertical="center"/>
    </xf>
    <xf numFmtId="165" fontId="27" fillId="16" borderId="61" xfId="1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165" fontId="7" fillId="0" borderId="3" xfId="1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165" fontId="7" fillId="0" borderId="4" xfId="1" applyNumberFormat="1" applyFont="1" applyFill="1" applyBorder="1" applyAlignment="1">
      <alignment horizontal="center" vertical="center"/>
    </xf>
    <xf numFmtId="165" fontId="8" fillId="0" borderId="4" xfId="1" applyNumberFormat="1" applyFont="1" applyFill="1" applyBorder="1" applyAlignment="1">
      <alignment horizontal="center" vertical="center"/>
    </xf>
    <xf numFmtId="165" fontId="61" fillId="21" borderId="2" xfId="1" applyNumberFormat="1" applyFont="1" applyFill="1" applyBorder="1" applyAlignment="1">
      <alignment horizontal="center" vertical="center"/>
    </xf>
    <xf numFmtId="0" fontId="0" fillId="0" borderId="0" xfId="0" applyFill="1" applyBorder="1"/>
    <xf numFmtId="3" fontId="8" fillId="2" borderId="16" xfId="0" applyNumberFormat="1" applyFont="1" applyFill="1" applyBorder="1" applyAlignment="1">
      <alignment horizontal="right" vertical="center"/>
    </xf>
    <xf numFmtId="165" fontId="8" fillId="2" borderId="16" xfId="1" applyFont="1" applyFill="1" applyBorder="1" applyAlignment="1">
      <alignment horizontal="right"/>
    </xf>
    <xf numFmtId="0" fontId="28" fillId="0" borderId="56" xfId="0" applyFont="1" applyBorder="1"/>
    <xf numFmtId="165" fontId="27" fillId="0" borderId="56" xfId="1" applyFont="1" applyFill="1" applyBorder="1" applyAlignment="1">
      <alignment vertical="center"/>
    </xf>
    <xf numFmtId="165" fontId="32" fillId="0" borderId="0" xfId="1" applyFont="1" applyBorder="1" applyAlignment="1">
      <alignment wrapText="1"/>
    </xf>
    <xf numFmtId="165" fontId="59" fillId="0" borderId="0" xfId="1" applyFont="1" applyBorder="1"/>
    <xf numFmtId="0" fontId="30" fillId="0" borderId="20" xfId="0" applyFont="1" applyBorder="1" applyAlignment="1"/>
    <xf numFmtId="168" fontId="55" fillId="0" borderId="7" xfId="1" applyNumberFormat="1" applyFont="1" applyFill="1" applyBorder="1" applyAlignment="1">
      <alignment horizontal="center" vertical="center"/>
    </xf>
    <xf numFmtId="165" fontId="55" fillId="0" borderId="7" xfId="1" applyNumberFormat="1" applyFont="1" applyFill="1" applyBorder="1" applyAlignment="1">
      <alignment horizontal="center" vertical="center"/>
    </xf>
    <xf numFmtId="165" fontId="55" fillId="0" borderId="7" xfId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65" fontId="30" fillId="0" borderId="31" xfId="1" applyNumberFormat="1" applyFont="1" applyBorder="1" applyAlignment="1">
      <alignment horizontal="center" vertical="center"/>
    </xf>
    <xf numFmtId="0" fontId="30" fillId="16" borderId="8" xfId="0" applyFont="1" applyFill="1" applyBorder="1" applyAlignment="1"/>
    <xf numFmtId="168" fontId="30" fillId="16" borderId="1" xfId="1" applyNumberFormat="1" applyFont="1" applyFill="1" applyBorder="1" applyAlignment="1">
      <alignment horizontal="center" vertical="center"/>
    </xf>
    <xf numFmtId="165" fontId="33" fillId="0" borderId="0" xfId="1" applyNumberFormat="1" applyFont="1" applyFill="1" applyBorder="1" applyAlignment="1">
      <alignment horizontal="center" vertical="center"/>
    </xf>
    <xf numFmtId="0" fontId="36" fillId="0" borderId="0" xfId="0" applyFont="1" applyBorder="1"/>
    <xf numFmtId="165" fontId="28" fillId="0" borderId="0" xfId="0" applyNumberFormat="1" applyFont="1" applyBorder="1"/>
    <xf numFmtId="0" fontId="8" fillId="0" borderId="31" xfId="0" applyFont="1" applyFill="1" applyBorder="1" applyAlignment="1">
      <alignment vertical="center" wrapText="1"/>
    </xf>
    <xf numFmtId="168" fontId="8" fillId="0" borderId="48" xfId="1" applyNumberFormat="1" applyFont="1" applyFill="1" applyBorder="1" applyAlignment="1">
      <alignment horizontal="right" vertical="center" shrinkToFit="1"/>
    </xf>
    <xf numFmtId="2" fontId="8" fillId="0" borderId="2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68" fontId="7" fillId="0" borderId="41" xfId="1" applyNumberFormat="1" applyFont="1" applyFill="1" applyBorder="1" applyAlignment="1">
      <alignment horizontal="right" vertical="center" shrinkToFit="1"/>
    </xf>
    <xf numFmtId="168" fontId="7" fillId="9" borderId="1" xfId="1" applyNumberFormat="1" applyFont="1" applyFill="1" applyBorder="1" applyAlignment="1">
      <alignment horizontal="right" vertical="center" shrinkToFit="1"/>
    </xf>
    <xf numFmtId="0" fontId="51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165" fontId="7" fillId="2" borderId="31" xfId="1" applyNumberFormat="1" applyFont="1" applyFill="1" applyBorder="1" applyAlignment="1">
      <alignment horizontal="center" vertical="center"/>
    </xf>
    <xf numFmtId="165" fontId="7" fillId="0" borderId="50" xfId="1" applyNumberFormat="1" applyFont="1" applyFill="1" applyBorder="1" applyAlignment="1">
      <alignment horizontal="center" vertical="center"/>
    </xf>
    <xf numFmtId="165" fontId="42" fillId="9" borderId="1" xfId="1" applyNumberFormat="1" applyFont="1" applyFill="1" applyBorder="1" applyAlignment="1">
      <alignment horizontal="center" vertical="center"/>
    </xf>
    <xf numFmtId="165" fontId="10" fillId="0" borderId="0" xfId="1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0" fontId="47" fillId="0" borderId="0" xfId="0" applyFont="1" applyBorder="1" applyAlignment="1">
      <alignment horizontal="center" vertical="center"/>
    </xf>
    <xf numFmtId="0" fontId="23" fillId="0" borderId="0" xfId="0" applyFont="1" applyBorder="1"/>
    <xf numFmtId="3" fontId="51" fillId="0" borderId="0" xfId="0" applyNumberFormat="1" applyFont="1" applyBorder="1"/>
    <xf numFmtId="3" fontId="51" fillId="0" borderId="0" xfId="0" applyNumberFormat="1" applyFont="1" applyFill="1" applyBorder="1"/>
    <xf numFmtId="164" fontId="7" fillId="0" borderId="31" xfId="0" applyNumberFormat="1" applyFont="1" applyFill="1" applyBorder="1" applyAlignment="1">
      <alignment vertical="center"/>
    </xf>
    <xf numFmtId="164" fontId="42" fillId="9" borderId="1" xfId="0" applyNumberFormat="1" applyFont="1" applyFill="1" applyBorder="1"/>
    <xf numFmtId="165" fontId="7" fillId="0" borderId="31" xfId="1" applyNumberFormat="1" applyFont="1" applyFill="1" applyBorder="1" applyAlignment="1">
      <alignment horizontal="center" vertical="center" shrinkToFit="1"/>
    </xf>
    <xf numFmtId="165" fontId="7" fillId="0" borderId="41" xfId="1" applyNumberFormat="1" applyFont="1" applyFill="1" applyBorder="1" applyAlignment="1">
      <alignment horizontal="center" vertical="center" shrinkToFit="1"/>
    </xf>
    <xf numFmtId="165" fontId="42" fillId="15" borderId="31" xfId="1" applyNumberFormat="1" applyFont="1" applyFill="1" applyBorder="1" applyAlignment="1">
      <alignment horizontal="center" vertical="center" shrinkToFit="1"/>
    </xf>
    <xf numFmtId="165" fontId="7" fillId="0" borderId="52" xfId="1" applyNumberFormat="1" applyFont="1" applyFill="1" applyBorder="1" applyAlignment="1">
      <alignment horizontal="center" vertical="center" shrinkToFit="1"/>
    </xf>
    <xf numFmtId="0" fontId="49" fillId="14" borderId="27" xfId="0" applyFont="1" applyFill="1" applyBorder="1"/>
    <xf numFmtId="0" fontId="49" fillId="3" borderId="29" xfId="0" applyFont="1" applyFill="1" applyBorder="1"/>
    <xf numFmtId="0" fontId="49" fillId="3" borderId="23" xfId="0" applyFont="1" applyFill="1" applyBorder="1"/>
    <xf numFmtId="3" fontId="8" fillId="0" borderId="56" xfId="0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/>
    <xf numFmtId="2" fontId="8" fillId="0" borderId="32" xfId="0" applyNumberFormat="1" applyFont="1" applyFill="1" applyBorder="1" applyAlignment="1"/>
    <xf numFmtId="2" fontId="8" fillId="0" borderId="28" xfId="0" applyNumberFormat="1" applyFont="1" applyFill="1" applyBorder="1" applyAlignment="1"/>
    <xf numFmtId="2" fontId="9" fillId="0" borderId="50" xfId="0" applyNumberFormat="1" applyFont="1" applyFill="1" applyBorder="1" applyAlignment="1"/>
    <xf numFmtId="0" fontId="8" fillId="0" borderId="16" xfId="0" applyFont="1" applyFill="1" applyBorder="1" applyAlignment="1">
      <alignment vertical="center"/>
    </xf>
    <xf numFmtId="0" fontId="8" fillId="0" borderId="16" xfId="0" applyFont="1" applyFill="1" applyBorder="1"/>
    <xf numFmtId="0" fontId="7" fillId="21" borderId="16" xfId="0" applyFont="1" applyFill="1" applyBorder="1"/>
    <xf numFmtId="3" fontId="7" fillId="21" borderId="16" xfId="0" applyNumberFormat="1" applyFont="1" applyFill="1" applyBorder="1" applyAlignment="1">
      <alignment horizontal="center" vertical="center"/>
    </xf>
    <xf numFmtId="0" fontId="7" fillId="21" borderId="51" xfId="0" applyFont="1" applyFill="1" applyBorder="1"/>
    <xf numFmtId="3" fontId="7" fillId="21" borderId="51" xfId="0" applyNumberFormat="1" applyFont="1" applyFill="1" applyBorder="1" applyAlignment="1">
      <alignment horizontal="center" vertical="center"/>
    </xf>
    <xf numFmtId="165" fontId="34" fillId="14" borderId="9" xfId="1" applyFont="1" applyFill="1" applyBorder="1" applyAlignment="1">
      <alignment horizontal="center" vertical="center"/>
    </xf>
    <xf numFmtId="165" fontId="28" fillId="0" borderId="72" xfId="1" applyFont="1" applyFill="1" applyBorder="1" applyAlignment="1">
      <alignment horizontal="left" vertical="center"/>
    </xf>
    <xf numFmtId="165" fontId="28" fillId="0" borderId="71" xfId="1" applyFont="1" applyFill="1" applyBorder="1" applyAlignment="1">
      <alignment horizontal="left" vertical="center"/>
    </xf>
    <xf numFmtId="165" fontId="28" fillId="2" borderId="71" xfId="1" applyFont="1" applyFill="1" applyBorder="1" applyAlignment="1">
      <alignment horizontal="left" vertical="center"/>
    </xf>
    <xf numFmtId="165" fontId="27" fillId="16" borderId="33" xfId="1" applyFont="1" applyFill="1" applyBorder="1" applyAlignment="1">
      <alignment horizontal="left" vertical="center"/>
    </xf>
    <xf numFmtId="168" fontId="48" fillId="15" borderId="40" xfId="1" applyNumberFormat="1" applyFont="1" applyFill="1" applyBorder="1" applyAlignment="1">
      <alignment horizontal="center" vertical="center" wrapText="1" shrinkToFit="1"/>
    </xf>
    <xf numFmtId="168" fontId="43" fillId="15" borderId="46" xfId="0" applyNumberFormat="1" applyFont="1" applyFill="1" applyBorder="1" applyAlignment="1">
      <alignment horizontal="center" vertical="center" wrapText="1" shrinkToFit="1"/>
    </xf>
    <xf numFmtId="168" fontId="48" fillId="15" borderId="40" xfId="0" applyNumberFormat="1" applyFont="1" applyFill="1" applyBorder="1" applyAlignment="1">
      <alignment horizontal="center" vertical="center" wrapText="1" shrinkToFit="1"/>
    </xf>
    <xf numFmtId="168" fontId="48" fillId="15" borderId="59" xfId="0" applyNumberFormat="1" applyFont="1" applyFill="1" applyBorder="1" applyAlignment="1">
      <alignment horizontal="center" vertical="center" wrapText="1" shrinkToFit="1"/>
    </xf>
    <xf numFmtId="0" fontId="27" fillId="9" borderId="1" xfId="0" applyFont="1" applyFill="1" applyBorder="1" applyAlignment="1">
      <alignment vertical="center" wrapText="1"/>
    </xf>
    <xf numFmtId="0" fontId="28" fillId="0" borderId="73" xfId="0" applyFont="1" applyBorder="1" applyAlignment="1">
      <alignment horizontal="left" vertical="center" wrapText="1"/>
    </xf>
    <xf numFmtId="165" fontId="28" fillId="2" borderId="48" xfId="1" applyFont="1" applyFill="1" applyBorder="1" applyAlignment="1">
      <alignment horizontal="left" vertical="center"/>
    </xf>
    <xf numFmtId="0" fontId="34" fillId="17" borderId="2" xfId="0" applyFont="1" applyFill="1" applyBorder="1" applyAlignment="1">
      <alignment horizontal="center" vertical="center" shrinkToFit="1"/>
    </xf>
    <xf numFmtId="0" fontId="28" fillId="0" borderId="49" xfId="0" applyFont="1" applyBorder="1" applyAlignment="1">
      <alignment horizontal="left" vertical="center" wrapText="1"/>
    </xf>
    <xf numFmtId="165" fontId="28" fillId="2" borderId="32" xfId="1" applyFont="1" applyFill="1" applyBorder="1" applyAlignment="1">
      <alignment horizontal="left" vertical="center"/>
    </xf>
    <xf numFmtId="165" fontId="27" fillId="16" borderId="2" xfId="0" applyNumberFormat="1" applyFont="1" applyFill="1" applyBorder="1" applyAlignment="1">
      <alignment horizontal="left" vertical="center"/>
    </xf>
    <xf numFmtId="165" fontId="28" fillId="2" borderId="3" xfId="1" applyFont="1" applyFill="1" applyBorder="1" applyAlignment="1">
      <alignment vertical="center"/>
    </xf>
    <xf numFmtId="165" fontId="34" fillId="3" borderId="2" xfId="1" applyFont="1" applyFill="1" applyBorder="1" applyAlignment="1">
      <alignment horizontal="center" vertical="center"/>
    </xf>
    <xf numFmtId="165" fontId="28" fillId="2" borderId="5" xfId="1" applyFont="1" applyFill="1" applyBorder="1" applyAlignment="1">
      <alignment vertical="center"/>
    </xf>
    <xf numFmtId="165" fontId="27" fillId="16" borderId="2" xfId="1" applyFont="1" applyFill="1" applyBorder="1" applyAlignment="1">
      <alignment vertical="center"/>
    </xf>
    <xf numFmtId="0" fontId="34" fillId="20" borderId="2" xfId="0" applyFont="1" applyFill="1" applyBorder="1" applyAlignment="1">
      <alignment horizontal="center" vertical="center" shrinkToFit="1"/>
    </xf>
    <xf numFmtId="0" fontId="28" fillId="0" borderId="39" xfId="0" applyFont="1" applyFill="1" applyBorder="1" applyAlignment="1">
      <alignment vertical="center" wrapText="1" shrinkToFit="1"/>
    </xf>
    <xf numFmtId="0" fontId="27" fillId="16" borderId="17" xfId="0" applyFont="1" applyFill="1" applyBorder="1" applyAlignment="1">
      <alignment vertical="center"/>
    </xf>
    <xf numFmtId="165" fontId="27" fillId="16" borderId="2" xfId="0" applyNumberFormat="1" applyFont="1" applyFill="1" applyBorder="1" applyAlignment="1">
      <alignment vertical="center"/>
    </xf>
    <xf numFmtId="165" fontId="41" fillId="0" borderId="3" xfId="1" applyFont="1" applyFill="1" applyBorder="1"/>
    <xf numFmtId="165" fontId="28" fillId="2" borderId="4" xfId="1" applyFont="1" applyFill="1" applyBorder="1"/>
    <xf numFmtId="165" fontId="28" fillId="0" borderId="5" xfId="1" applyFont="1" applyFill="1" applyBorder="1" applyAlignment="1">
      <alignment vertical="center" wrapText="1"/>
    </xf>
    <xf numFmtId="165" fontId="30" fillId="16" borderId="1" xfId="1" applyNumberFormat="1" applyFont="1" applyFill="1" applyBorder="1" applyAlignment="1">
      <alignment horizontal="center" vertical="center"/>
    </xf>
    <xf numFmtId="165" fontId="30" fillId="16" borderId="17" xfId="1" applyNumberFormat="1" applyFont="1" applyFill="1" applyBorder="1" applyAlignment="1">
      <alignment horizontal="center" vertical="center"/>
    </xf>
    <xf numFmtId="165" fontId="30" fillId="0" borderId="50" xfId="1" applyNumberFormat="1" applyFont="1" applyBorder="1" applyAlignment="1">
      <alignment horizontal="center" vertical="center"/>
    </xf>
    <xf numFmtId="165" fontId="30" fillId="16" borderId="1" xfId="1" applyFont="1" applyFill="1" applyBorder="1" applyAlignment="1">
      <alignment horizontal="center" vertical="center"/>
    </xf>
    <xf numFmtId="168" fontId="33" fillId="0" borderId="0" xfId="1" applyNumberFormat="1" applyFont="1" applyFill="1" applyBorder="1" applyAlignment="1">
      <alignment horizontal="center" vertical="center"/>
    </xf>
    <xf numFmtId="165" fontId="8" fillId="0" borderId="26" xfId="1" applyNumberFormat="1" applyFont="1" applyFill="1" applyBorder="1" applyAlignment="1">
      <alignment horizontal="center" vertical="center" shrinkToFit="1"/>
    </xf>
    <xf numFmtId="0" fontId="49" fillId="14" borderId="26" xfId="0" applyFont="1" applyFill="1" applyBorder="1"/>
    <xf numFmtId="0" fontId="49" fillId="3" borderId="58" xfId="0" applyFont="1" applyFill="1" applyBorder="1"/>
    <xf numFmtId="165" fontId="7" fillId="0" borderId="40" xfId="1" applyNumberFormat="1" applyFont="1" applyFill="1" applyBorder="1" applyAlignment="1">
      <alignment horizontal="center" vertical="center" shrinkToFit="1"/>
    </xf>
    <xf numFmtId="165" fontId="49" fillId="14" borderId="41" xfId="0" applyNumberFormat="1" applyFont="1" applyFill="1" applyBorder="1"/>
    <xf numFmtId="164" fontId="49" fillId="3" borderId="42" xfId="0" applyNumberFormat="1" applyFont="1" applyFill="1" applyBorder="1"/>
    <xf numFmtId="168" fontId="7" fillId="0" borderId="31" xfId="1" applyNumberFormat="1" applyFont="1" applyFill="1" applyBorder="1" applyAlignment="1">
      <alignment horizontal="right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54" xfId="0" applyFont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33" xfId="0" applyFont="1" applyBorder="1" applyAlignment="1">
      <alignment vertical="center" wrapText="1"/>
    </xf>
    <xf numFmtId="4" fontId="49" fillId="14" borderId="16" xfId="0" applyNumberFormat="1" applyFont="1" applyFill="1" applyBorder="1"/>
    <xf numFmtId="4" fontId="49" fillId="3" borderId="23" xfId="0" applyNumberFormat="1" applyFont="1" applyFill="1" applyBorder="1"/>
    <xf numFmtId="0" fontId="43" fillId="15" borderId="44" xfId="0" applyFont="1" applyFill="1" applyBorder="1" applyAlignment="1">
      <alignment horizontal="center" vertical="center" wrapText="1" shrinkToFit="1"/>
    </xf>
    <xf numFmtId="165" fontId="7" fillId="2" borderId="34" xfId="1" applyNumberFormat="1" applyFont="1" applyFill="1" applyBorder="1" applyAlignment="1">
      <alignment horizontal="center" vertical="center"/>
    </xf>
    <xf numFmtId="165" fontId="7" fillId="0" borderId="35" xfId="1" applyNumberFormat="1" applyFont="1" applyFill="1" applyBorder="1" applyAlignment="1">
      <alignment horizontal="center" vertical="center"/>
    </xf>
    <xf numFmtId="165" fontId="42" fillId="9" borderId="24" xfId="1" applyNumberFormat="1" applyFont="1" applyFill="1" applyBorder="1" applyAlignment="1">
      <alignment horizontal="center" vertical="center"/>
    </xf>
    <xf numFmtId="4" fontId="8" fillId="0" borderId="34" xfId="0" applyNumberFormat="1" applyFont="1" applyFill="1" applyBorder="1" applyAlignment="1">
      <alignment horizontal="center" vertical="center"/>
    </xf>
    <xf numFmtId="4" fontId="42" fillId="15" borderId="34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left" vertical="center" wrapText="1" shrinkToFit="1"/>
    </xf>
    <xf numFmtId="165" fontId="8" fillId="0" borderId="26" xfId="1" applyFont="1" applyFill="1" applyBorder="1" applyAlignment="1"/>
    <xf numFmtId="165" fontId="7" fillId="21" borderId="26" xfId="1" applyFont="1" applyFill="1" applyBorder="1"/>
    <xf numFmtId="0" fontId="0" fillId="0" borderId="26" xfId="0" applyBorder="1"/>
    <xf numFmtId="165" fontId="8" fillId="0" borderId="26" xfId="1" applyFont="1" applyFill="1" applyBorder="1"/>
    <xf numFmtId="0" fontId="8" fillId="0" borderId="26" xfId="0" applyFont="1" applyFill="1" applyBorder="1"/>
    <xf numFmtId="0" fontId="8" fillId="15" borderId="25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/>
    </xf>
    <xf numFmtId="0" fontId="8" fillId="0" borderId="63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2" fontId="8" fillId="0" borderId="58" xfId="0" applyNumberFormat="1" applyFont="1" applyBorder="1" applyAlignment="1">
      <alignment vertical="center"/>
    </xf>
    <xf numFmtId="2" fontId="17" fillId="0" borderId="42" xfId="0" applyNumberFormat="1" applyFont="1" applyBorder="1" applyAlignment="1">
      <alignment vertical="center"/>
    </xf>
    <xf numFmtId="0" fontId="8" fillId="0" borderId="27" xfId="0" applyFont="1" applyFill="1" applyBorder="1" applyAlignment="1">
      <alignment vertical="justify"/>
    </xf>
    <xf numFmtId="0" fontId="8" fillId="0" borderId="19" xfId="0" applyFont="1" applyFill="1" applyBorder="1" applyAlignment="1">
      <alignment vertical="justify"/>
    </xf>
    <xf numFmtId="3" fontId="8" fillId="2" borderId="48" xfId="0" applyNumberFormat="1" applyFont="1" applyFill="1" applyBorder="1" applyAlignment="1">
      <alignment horizontal="right" vertical="center"/>
    </xf>
    <xf numFmtId="165" fontId="8" fillId="2" borderId="48" xfId="1" applyFont="1" applyFill="1" applyBorder="1" applyAlignment="1">
      <alignment horizontal="right"/>
    </xf>
    <xf numFmtId="0" fontId="42" fillId="15" borderId="10" xfId="0" applyFont="1" applyFill="1" applyBorder="1" applyAlignment="1">
      <alignment vertical="center"/>
    </xf>
    <xf numFmtId="3" fontId="42" fillId="15" borderId="12" xfId="0" applyNumberFormat="1" applyFont="1" applyFill="1" applyBorder="1" applyAlignment="1">
      <alignment horizontal="center" vertical="center"/>
    </xf>
    <xf numFmtId="165" fontId="0" fillId="0" borderId="24" xfId="1" applyFont="1" applyFill="1" applyBorder="1"/>
    <xf numFmtId="0" fontId="8" fillId="0" borderId="39" xfId="0" applyFont="1" applyFill="1" applyBorder="1" applyAlignment="1">
      <alignment vertical="justify"/>
    </xf>
    <xf numFmtId="3" fontId="8" fillId="2" borderId="32" xfId="0" applyNumberFormat="1" applyFont="1" applyFill="1" applyBorder="1" applyAlignment="1">
      <alignment horizontal="right" vertical="center"/>
    </xf>
    <xf numFmtId="0" fontId="8" fillId="2" borderId="32" xfId="0" applyFont="1" applyFill="1" applyBorder="1" applyAlignment="1">
      <alignment horizontal="right"/>
    </xf>
    <xf numFmtId="0" fontId="62" fillId="23" borderId="10" xfId="0" applyFont="1" applyFill="1" applyBorder="1" applyAlignment="1">
      <alignment vertical="justify"/>
    </xf>
    <xf numFmtId="3" fontId="53" fillId="15" borderId="12" xfId="0" applyNumberFormat="1" applyFont="1" applyFill="1" applyBorder="1" applyAlignment="1">
      <alignment horizontal="center" vertical="center"/>
    </xf>
    <xf numFmtId="0" fontId="54" fillId="2" borderId="12" xfId="0" applyFont="1" applyFill="1" applyBorder="1"/>
    <xf numFmtId="0" fontId="48" fillId="0" borderId="40" xfId="0" applyFont="1" applyFill="1" applyBorder="1" applyAlignment="1">
      <alignment vertical="center" wrapText="1"/>
    </xf>
    <xf numFmtId="0" fontId="48" fillId="0" borderId="64" xfId="0" applyFont="1" applyBorder="1" applyAlignment="1">
      <alignment vertical="center" wrapText="1"/>
    </xf>
    <xf numFmtId="0" fontId="48" fillId="0" borderId="40" xfId="0" applyFont="1" applyBorder="1" applyAlignment="1">
      <alignment vertical="center" wrapText="1"/>
    </xf>
    <xf numFmtId="165" fontId="8" fillId="0" borderId="47" xfId="1" applyFont="1" applyFill="1" applyBorder="1" applyAlignment="1">
      <alignment horizontal="right" vertical="center" wrapText="1" shrinkToFit="1"/>
    </xf>
    <xf numFmtId="165" fontId="8" fillId="0" borderId="7" xfId="1" applyFont="1" applyFill="1" applyBorder="1" applyAlignment="1">
      <alignment horizontal="right" vertical="center" wrapText="1" shrinkToFit="1"/>
    </xf>
    <xf numFmtId="165" fontId="0" fillId="0" borderId="0" xfId="0" applyNumberFormat="1"/>
    <xf numFmtId="164" fontId="0" fillId="0" borderId="0" xfId="0" applyNumberFormat="1" applyFill="1"/>
    <xf numFmtId="165" fontId="7" fillId="0" borderId="9" xfId="1" applyFont="1" applyFill="1" applyBorder="1" applyAlignment="1">
      <alignment horizontal="right" vertical="center" wrapText="1" shrinkToFit="1"/>
    </xf>
    <xf numFmtId="165" fontId="7" fillId="0" borderId="1" xfId="1" applyFont="1" applyFill="1" applyBorder="1" applyAlignment="1">
      <alignment horizontal="right" vertical="center" wrapText="1" shrinkToFit="1"/>
    </xf>
    <xf numFmtId="165" fontId="7" fillId="0" borderId="24" xfId="1" applyFont="1" applyFill="1" applyBorder="1" applyAlignment="1">
      <alignment horizontal="right" vertical="center" wrapText="1" shrinkToFit="1"/>
    </xf>
    <xf numFmtId="165" fontId="7" fillId="0" borderId="11" xfId="1" applyFont="1" applyFill="1" applyBorder="1" applyAlignment="1">
      <alignment horizontal="right" vertical="center" wrapText="1" shrinkToFit="1"/>
    </xf>
    <xf numFmtId="167" fontId="8" fillId="0" borderId="10" xfId="0" applyNumberFormat="1" applyFont="1" applyFill="1" applyBorder="1" applyAlignment="1">
      <alignment wrapText="1"/>
    </xf>
    <xf numFmtId="167" fontId="8" fillId="0" borderId="24" xfId="0" applyNumberFormat="1" applyFont="1" applyFill="1" applyBorder="1" applyAlignment="1">
      <alignment wrapText="1"/>
    </xf>
    <xf numFmtId="165" fontId="7" fillId="0" borderId="1" xfId="1" applyFont="1" applyFill="1" applyBorder="1" applyAlignment="1">
      <alignment horizontal="center" vertical="center" wrapText="1" shrinkToFit="1"/>
    </xf>
    <xf numFmtId="165" fontId="7" fillId="0" borderId="40" xfId="1" applyFont="1" applyFill="1" applyBorder="1" applyAlignment="1">
      <alignment horizontal="right" vertical="center" wrapText="1" shrinkToFit="1"/>
    </xf>
    <xf numFmtId="0" fontId="7" fillId="0" borderId="4" xfId="0" applyFont="1" applyFill="1" applyBorder="1" applyAlignment="1">
      <alignment horizontal="left" vertical="center" wrapText="1" shrinkToFit="1"/>
    </xf>
    <xf numFmtId="165" fontId="8" fillId="0" borderId="51" xfId="1" applyFont="1" applyFill="1" applyBorder="1" applyAlignment="1">
      <alignment horizontal="right" vertical="center" wrapText="1" shrinkToFit="1"/>
    </xf>
    <xf numFmtId="43" fontId="8" fillId="0" borderId="32" xfId="0" applyNumberFormat="1" applyFont="1" applyFill="1" applyBorder="1" applyAlignment="1">
      <alignment horizontal="right" vertical="center" wrapText="1"/>
    </xf>
    <xf numFmtId="43" fontId="8" fillId="0" borderId="28" xfId="0" applyNumberFormat="1" applyFont="1" applyFill="1" applyBorder="1" applyAlignment="1">
      <alignment horizontal="right" vertical="center" wrapText="1"/>
    </xf>
    <xf numFmtId="2" fontId="8" fillId="0" borderId="52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left" vertical="center" wrapText="1" shrinkToFit="1"/>
    </xf>
    <xf numFmtId="165" fontId="8" fillId="0" borderId="57" xfId="1" applyFont="1" applyFill="1" applyBorder="1" applyAlignment="1">
      <alignment horizontal="right" vertical="center" wrapText="1" shrinkToFit="1"/>
    </xf>
    <xf numFmtId="2" fontId="8" fillId="0" borderId="70" xfId="0" applyNumberFormat="1" applyFont="1" applyFill="1" applyBorder="1" applyAlignment="1">
      <alignment horizontal="center" vertical="center" wrapText="1"/>
    </xf>
    <xf numFmtId="2" fontId="8" fillId="0" borderId="60" xfId="0" applyNumberFormat="1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 shrinkToFit="1"/>
    </xf>
    <xf numFmtId="0" fontId="42" fillId="0" borderId="51" xfId="0" applyFont="1" applyFill="1" applyBorder="1" applyAlignment="1">
      <alignment horizontal="left" vertical="center" wrapText="1" shrinkToFit="1"/>
    </xf>
    <xf numFmtId="165" fontId="8" fillId="0" borderId="50" xfId="1" applyFont="1" applyFill="1" applyBorder="1" applyAlignment="1">
      <alignment horizontal="right" vertical="center" wrapText="1" shrinkToFit="1"/>
    </xf>
    <xf numFmtId="165" fontId="8" fillId="0" borderId="60" xfId="1" applyFont="1" applyFill="1" applyBorder="1" applyAlignment="1">
      <alignment horizontal="right" vertical="center" wrapText="1" shrinkToFit="1"/>
    </xf>
    <xf numFmtId="165" fontId="24" fillId="0" borderId="5" xfId="1" applyFont="1" applyFill="1" applyBorder="1" applyAlignment="1">
      <alignment horizontal="right" vertical="center" wrapText="1" shrinkToFit="1"/>
    </xf>
    <xf numFmtId="165" fontId="7" fillId="0" borderId="50" xfId="1" applyFont="1" applyFill="1" applyBorder="1" applyAlignment="1">
      <alignment horizontal="right" vertical="center" wrapText="1" shrinkToFit="1"/>
    </xf>
    <xf numFmtId="165" fontId="8" fillId="0" borderId="35" xfId="1" applyFont="1" applyFill="1" applyBorder="1" applyAlignment="1">
      <alignment horizontal="right" vertical="center" wrapText="1" shrinkToFit="1"/>
    </xf>
    <xf numFmtId="2" fontId="8" fillId="0" borderId="37" xfId="0" applyNumberFormat="1" applyFont="1" applyFill="1" applyBorder="1" applyAlignment="1">
      <alignment horizontal="right" vertical="center" wrapText="1"/>
    </xf>
    <xf numFmtId="2" fontId="8" fillId="0" borderId="55" xfId="0" applyNumberFormat="1" applyFont="1" applyFill="1" applyBorder="1" applyAlignment="1">
      <alignment horizontal="right" vertical="center" wrapText="1"/>
    </xf>
    <xf numFmtId="165" fontId="8" fillId="0" borderId="1" xfId="1" applyFont="1" applyFill="1" applyBorder="1" applyAlignment="1">
      <alignment horizontal="right" vertical="center" wrapText="1" shrinkToFit="1"/>
    </xf>
    <xf numFmtId="165" fontId="24" fillId="0" borderId="2" xfId="1" applyFont="1" applyFill="1" applyBorder="1" applyAlignment="1">
      <alignment horizontal="right" vertical="center" wrapText="1" shrinkToFit="1"/>
    </xf>
    <xf numFmtId="165" fontId="8" fillId="0" borderId="8" xfId="1" applyFont="1" applyFill="1" applyBorder="1" applyAlignment="1">
      <alignment horizontal="right" vertical="center" wrapText="1" shrinkToFit="1"/>
    </xf>
    <xf numFmtId="0" fontId="7" fillId="0" borderId="74" xfId="0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left" vertical="center" wrapText="1" shrinkToFit="1"/>
    </xf>
    <xf numFmtId="165" fontId="8" fillId="0" borderId="55" xfId="1" applyFont="1" applyFill="1" applyBorder="1" applyAlignment="1">
      <alignment horizontal="right" vertical="center" wrapText="1" shrinkToFit="1"/>
    </xf>
    <xf numFmtId="43" fontId="8" fillId="0" borderId="48" xfId="0" applyNumberFormat="1" applyFont="1" applyFill="1" applyBorder="1" applyAlignment="1">
      <alignment horizontal="right" vertical="center" wrapText="1"/>
    </xf>
    <xf numFmtId="43" fontId="8" fillId="0" borderId="20" xfId="0" applyNumberFormat="1" applyFont="1" applyFill="1" applyBorder="1" applyAlignment="1">
      <alignment horizontal="right" vertical="center" wrapText="1"/>
    </xf>
    <xf numFmtId="0" fontId="42" fillId="0" borderId="17" xfId="0" applyFont="1" applyFill="1" applyBorder="1" applyAlignment="1">
      <alignment horizontal="left" vertical="center" wrapText="1" shrinkToFit="1"/>
    </xf>
    <xf numFmtId="165" fontId="8" fillId="0" borderId="9" xfId="1" applyFont="1" applyFill="1" applyBorder="1" applyAlignment="1">
      <alignment horizontal="right" vertical="center" wrapText="1" shrinkToFit="1"/>
    </xf>
    <xf numFmtId="165" fontId="8" fillId="0" borderId="11" xfId="1" applyFont="1" applyFill="1" applyBorder="1" applyAlignment="1">
      <alignment horizontal="right" vertical="center" wrapText="1" shrinkToFit="1"/>
    </xf>
    <xf numFmtId="2" fontId="8" fillId="0" borderId="10" xfId="0" applyNumberFormat="1" applyFont="1" applyFill="1" applyBorder="1" applyAlignment="1">
      <alignment horizontal="right" vertical="center" wrapText="1"/>
    </xf>
    <xf numFmtId="2" fontId="8" fillId="0" borderId="11" xfId="0" applyNumberFormat="1" applyFont="1" applyFill="1" applyBorder="1" applyAlignment="1">
      <alignment horizontal="right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right" vertical="center" wrapText="1"/>
    </xf>
    <xf numFmtId="166" fontId="8" fillId="0" borderId="57" xfId="0" applyNumberFormat="1" applyFont="1" applyFill="1" applyBorder="1" applyAlignment="1">
      <alignment horizontal="right" vertical="center" wrapText="1"/>
    </xf>
    <xf numFmtId="0" fontId="8" fillId="0" borderId="57" xfId="0" applyFont="1" applyFill="1" applyBorder="1" applyAlignment="1">
      <alignment horizontal="right" vertical="center" wrapText="1"/>
    </xf>
    <xf numFmtId="0" fontId="8" fillId="0" borderId="35" xfId="0" applyFont="1" applyFill="1" applyBorder="1" applyAlignment="1">
      <alignment horizontal="right" vertical="center" wrapText="1"/>
    </xf>
    <xf numFmtId="2" fontId="8" fillId="0" borderId="35" xfId="0" applyNumberFormat="1" applyFont="1" applyFill="1" applyBorder="1" applyAlignment="1">
      <alignment horizontal="right" vertical="center" wrapText="1"/>
    </xf>
    <xf numFmtId="2" fontId="8" fillId="0" borderId="73" xfId="0" applyNumberFormat="1" applyFont="1" applyFill="1" applyBorder="1" applyAlignment="1">
      <alignment horizontal="center" vertical="center" wrapText="1"/>
    </xf>
    <xf numFmtId="2" fontId="8" fillId="0" borderId="15" xfId="0" applyNumberFormat="1" applyFont="1" applyFill="1" applyBorder="1" applyAlignment="1">
      <alignment horizontal="center" vertical="center" wrapText="1"/>
    </xf>
    <xf numFmtId="2" fontId="8" fillId="0" borderId="65" xfId="0" applyNumberFormat="1" applyFont="1" applyFill="1" applyBorder="1" applyAlignment="1">
      <alignment horizontal="center" vertical="center" wrapText="1"/>
    </xf>
    <xf numFmtId="2" fontId="8" fillId="0" borderId="49" xfId="0" applyNumberFormat="1" applyFont="1" applyFill="1" applyBorder="1" applyAlignment="1">
      <alignment horizontal="center" vertical="center" wrapText="1"/>
    </xf>
    <xf numFmtId="2" fontId="7" fillId="0" borderId="40" xfId="0" applyNumberFormat="1" applyFont="1" applyFill="1" applyBorder="1" applyAlignment="1">
      <alignment horizontal="center" vertical="center" wrapText="1"/>
    </xf>
    <xf numFmtId="2" fontId="7" fillId="0" borderId="41" xfId="0" applyNumberFormat="1" applyFont="1" applyFill="1" applyBorder="1" applyAlignment="1">
      <alignment horizontal="center" vertical="center" wrapText="1"/>
    </xf>
    <xf numFmtId="2" fontId="7" fillId="0" borderId="50" xfId="0" applyNumberFormat="1" applyFont="1" applyFill="1" applyBorder="1" applyAlignment="1">
      <alignment horizontal="center" vertical="center" wrapText="1"/>
    </xf>
    <xf numFmtId="165" fontId="7" fillId="0" borderId="12" xfId="1" applyFont="1" applyFill="1" applyBorder="1" applyAlignment="1">
      <alignment horizontal="right" vertical="center" wrapText="1" shrinkToFit="1"/>
    </xf>
    <xf numFmtId="165" fontId="9" fillId="0" borderId="12" xfId="1" applyFont="1" applyFill="1" applyBorder="1" applyAlignment="1">
      <alignment horizontal="right" vertical="center" wrapText="1" shrinkToFit="1"/>
    </xf>
    <xf numFmtId="0" fontId="8" fillId="0" borderId="12" xfId="0" applyFont="1" applyFill="1" applyBorder="1" applyAlignment="1">
      <alignment wrapText="1"/>
    </xf>
    <xf numFmtId="2" fontId="42" fillId="0" borderId="12" xfId="0" applyNumberFormat="1" applyFont="1" applyFill="1" applyBorder="1" applyAlignment="1">
      <alignment wrapText="1"/>
    </xf>
    <xf numFmtId="43" fontId="7" fillId="0" borderId="2" xfId="0" applyNumberFormat="1" applyFont="1" applyFill="1" applyBorder="1" applyAlignment="1">
      <alignment wrapText="1"/>
    </xf>
    <xf numFmtId="167" fontId="8" fillId="0" borderId="8" xfId="0" applyNumberFormat="1" applyFont="1" applyFill="1" applyBorder="1" applyAlignment="1">
      <alignment wrapText="1"/>
    </xf>
    <xf numFmtId="165" fontId="63" fillId="0" borderId="12" xfId="1" applyFont="1" applyFill="1" applyBorder="1" applyAlignment="1">
      <alignment horizontal="center" vertical="center" wrapText="1" shrinkToFit="1"/>
    </xf>
    <xf numFmtId="165" fontId="63" fillId="0" borderId="11" xfId="1" applyFont="1" applyFill="1" applyBorder="1" applyAlignment="1">
      <alignment horizontal="center" vertical="center" wrapText="1" shrinkToFit="1"/>
    </xf>
    <xf numFmtId="165" fontId="4" fillId="0" borderId="2" xfId="1" applyFont="1" applyFill="1" applyBorder="1" applyAlignment="1">
      <alignment horizontal="center" vertical="center" wrapText="1" shrinkToFit="1"/>
    </xf>
    <xf numFmtId="165" fontId="63" fillId="0" borderId="8" xfId="1" applyFont="1" applyFill="1" applyBorder="1" applyAlignment="1">
      <alignment horizontal="center" vertical="center" wrapText="1" shrinkToFit="1"/>
    </xf>
    <xf numFmtId="165" fontId="63" fillId="0" borderId="1" xfId="1" applyFont="1" applyFill="1" applyBorder="1" applyAlignment="1">
      <alignment horizontal="center" vertical="center" wrapText="1" shrinkToFit="1"/>
    </xf>
    <xf numFmtId="165" fontId="63" fillId="0" borderId="24" xfId="1" applyFont="1" applyFill="1" applyBorder="1" applyAlignment="1">
      <alignment horizontal="center" vertical="center" wrapText="1" shrinkToFit="1"/>
    </xf>
    <xf numFmtId="2" fontId="63" fillId="0" borderId="1" xfId="0" applyNumberFormat="1" applyFont="1" applyFill="1" applyBorder="1" applyAlignment="1">
      <alignment horizontal="center" vertical="center" wrapText="1" shrinkToFit="1"/>
    </xf>
    <xf numFmtId="2" fontId="63" fillId="0" borderId="17" xfId="0" applyNumberFormat="1" applyFont="1" applyFill="1" applyBorder="1" applyAlignment="1">
      <alignment horizontal="center" vertical="center" wrapText="1" shrinkToFit="1"/>
    </xf>
    <xf numFmtId="2" fontId="63" fillId="0" borderId="9" xfId="0" applyNumberFormat="1" applyFont="1" applyFill="1" applyBorder="1" applyAlignment="1">
      <alignment horizontal="center" vertical="center" wrapText="1" shrinkToFit="1"/>
    </xf>
    <xf numFmtId="165" fontId="43" fillId="0" borderId="1" xfId="1" applyFont="1" applyFill="1" applyBorder="1" applyAlignment="1">
      <alignment vertical="center" wrapText="1"/>
    </xf>
    <xf numFmtId="165" fontId="27" fillId="0" borderId="56" xfId="0" applyNumberFormat="1" applyFont="1" applyFill="1" applyBorder="1"/>
    <xf numFmtId="165" fontId="31" fillId="0" borderId="44" xfId="0" applyNumberFormat="1" applyFont="1" applyFill="1" applyBorder="1" applyAlignment="1">
      <alignment horizontal="center" vertical="center"/>
    </xf>
    <xf numFmtId="165" fontId="31" fillId="0" borderId="15" xfId="1" applyNumberFormat="1" applyFont="1" applyFill="1" applyBorder="1" applyAlignment="1">
      <alignment horizontal="center" vertical="center"/>
    </xf>
    <xf numFmtId="165" fontId="31" fillId="0" borderId="65" xfId="1" applyNumberFormat="1" applyFont="1" applyFill="1" applyBorder="1" applyAlignment="1">
      <alignment horizontal="center" vertical="center"/>
    </xf>
    <xf numFmtId="165" fontId="8" fillId="0" borderId="16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center" vertical="center"/>
    </xf>
    <xf numFmtId="0" fontId="61" fillId="0" borderId="0" xfId="0" applyFont="1" applyFill="1" applyBorder="1"/>
    <xf numFmtId="0" fontId="1" fillId="0" borderId="0" xfId="0" applyFont="1" applyFill="1" applyBorder="1"/>
    <xf numFmtId="0" fontId="61" fillId="0" borderId="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justify"/>
    </xf>
    <xf numFmtId="168" fontId="61" fillId="0" borderId="0" xfId="1" applyNumberFormat="1" applyFont="1" applyFill="1" applyBorder="1" applyAlignment="1">
      <alignment horizontal="center" vertical="center"/>
    </xf>
    <xf numFmtId="165" fontId="61" fillId="0" borderId="0" xfId="1" applyNumberFormat="1" applyFont="1" applyFill="1" applyBorder="1" applyAlignment="1">
      <alignment horizontal="center" vertical="center"/>
    </xf>
    <xf numFmtId="165" fontId="14" fillId="0" borderId="0" xfId="1" applyNumberFormat="1" applyFont="1" applyFill="1" applyBorder="1" applyAlignment="1">
      <alignment horizontal="center" vertical="center"/>
    </xf>
    <xf numFmtId="0" fontId="61" fillId="21" borderId="29" xfId="0" applyFont="1" applyFill="1" applyBorder="1" applyAlignment="1">
      <alignment horizontal="center" vertical="center"/>
    </xf>
    <xf numFmtId="168" fontId="61" fillId="21" borderId="23" xfId="1" applyNumberFormat="1" applyFont="1" applyFill="1" applyBorder="1" applyAlignment="1">
      <alignment horizontal="center" vertical="center"/>
    </xf>
    <xf numFmtId="165" fontId="61" fillId="21" borderId="23" xfId="1" applyNumberFormat="1" applyFont="1" applyFill="1" applyBorder="1" applyAlignment="1">
      <alignment horizontal="center" vertical="center"/>
    </xf>
    <xf numFmtId="165" fontId="14" fillId="21" borderId="23" xfId="1" applyNumberFormat="1" applyFont="1" applyFill="1" applyBorder="1" applyAlignment="1">
      <alignment horizontal="center" vertical="center"/>
    </xf>
    <xf numFmtId="165" fontId="61" fillId="21" borderId="33" xfId="1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left" vertical="center" wrapText="1"/>
    </xf>
    <xf numFmtId="168" fontId="8" fillId="0" borderId="21" xfId="1" applyNumberFormat="1" applyFont="1" applyFill="1" applyBorder="1" applyAlignment="1">
      <alignment horizontal="center" vertical="center"/>
    </xf>
    <xf numFmtId="165" fontId="8" fillId="0" borderId="21" xfId="1" applyNumberFormat="1" applyFont="1" applyFill="1" applyBorder="1" applyAlignment="1">
      <alignment horizontal="center" vertical="center"/>
    </xf>
    <xf numFmtId="165" fontId="8" fillId="0" borderId="54" xfId="1" applyNumberFormat="1" applyFont="1" applyFill="1" applyBorder="1" applyAlignment="1">
      <alignment horizontal="center" vertical="center"/>
    </xf>
    <xf numFmtId="0" fontId="61" fillId="0" borderId="0" xfId="0" applyFont="1" applyFill="1" applyAlignment="1">
      <alignment horizontal="center" vertical="center"/>
    </xf>
    <xf numFmtId="0" fontId="61" fillId="21" borderId="11" xfId="0" applyFont="1" applyFill="1" applyBorder="1" applyAlignment="1">
      <alignment horizontal="center" vertical="center"/>
    </xf>
    <xf numFmtId="168" fontId="61" fillId="21" borderId="12" xfId="0" applyNumberFormat="1" applyFont="1" applyFill="1" applyBorder="1" applyAlignment="1">
      <alignment horizontal="center" vertical="center"/>
    </xf>
    <xf numFmtId="165" fontId="61" fillId="21" borderId="12" xfId="0" applyNumberFormat="1" applyFont="1" applyFill="1" applyBorder="1" applyAlignment="1">
      <alignment horizontal="center" vertical="center"/>
    </xf>
    <xf numFmtId="168" fontId="61" fillId="21" borderId="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61" fillId="21" borderId="8" xfId="0" applyNumberFormat="1" applyFont="1" applyFill="1" applyBorder="1" applyAlignment="1">
      <alignment horizontal="center" vertical="center"/>
    </xf>
    <xf numFmtId="168" fontId="61" fillId="21" borderId="11" xfId="0" applyNumberFormat="1" applyFont="1" applyFill="1" applyBorder="1" applyAlignment="1">
      <alignment horizontal="center" vertical="center"/>
    </xf>
    <xf numFmtId="165" fontId="61" fillId="21" borderId="11" xfId="0" applyNumberFormat="1" applyFont="1" applyFill="1" applyBorder="1" applyAlignment="1">
      <alignment horizontal="center" vertical="center"/>
    </xf>
    <xf numFmtId="165" fontId="61" fillId="21" borderId="24" xfId="0" applyNumberFormat="1" applyFont="1" applyFill="1" applyBorder="1" applyAlignment="1">
      <alignment horizontal="center" vertical="center"/>
    </xf>
    <xf numFmtId="0" fontId="61" fillId="21" borderId="2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1" fillId="0" borderId="48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>
      <alignment horizontal="center" vertical="center"/>
    </xf>
    <xf numFmtId="0" fontId="48" fillId="0" borderId="62" xfId="0" applyFont="1" applyFill="1" applyBorder="1" applyAlignment="1">
      <alignment vertical="center" wrapText="1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36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2" fontId="6" fillId="0" borderId="41" xfId="0" applyNumberFormat="1" applyFont="1" applyFill="1" applyBorder="1"/>
    <xf numFmtId="2" fontId="6" fillId="0" borderId="50" xfId="0" applyNumberFormat="1" applyFont="1" applyFill="1" applyBorder="1"/>
    <xf numFmtId="49" fontId="6" fillId="0" borderId="41" xfId="0" applyNumberFormat="1" applyFont="1" applyBorder="1" applyAlignment="1">
      <alignment horizontal="center"/>
    </xf>
    <xf numFmtId="2" fontId="6" fillId="0" borderId="1" xfId="0" applyNumberFormat="1" applyFont="1" applyBorder="1"/>
    <xf numFmtId="0" fontId="43" fillId="15" borderId="21" xfId="0" applyFont="1" applyFill="1" applyBorder="1" applyAlignment="1">
      <alignment horizontal="center" vertical="center" wrapText="1" shrinkToFit="1"/>
    </xf>
    <xf numFmtId="168" fontId="48" fillId="15" borderId="21" xfId="1" applyNumberFormat="1" applyFont="1" applyFill="1" applyBorder="1" applyAlignment="1">
      <alignment horizontal="center" vertical="center" wrapText="1" shrinkToFit="1"/>
    </xf>
    <xf numFmtId="168" fontId="43" fillId="15" borderId="25" xfId="0" applyNumberFormat="1" applyFont="1" applyFill="1" applyBorder="1" applyAlignment="1">
      <alignment horizontal="center" vertical="center" wrapText="1" shrinkToFit="1"/>
    </xf>
    <xf numFmtId="168" fontId="48" fillId="15" borderId="21" xfId="0" applyNumberFormat="1" applyFont="1" applyFill="1" applyBorder="1" applyAlignment="1">
      <alignment horizontal="center" vertical="center" wrapText="1" shrinkToFit="1"/>
    </xf>
    <xf numFmtId="165" fontId="9" fillId="0" borderId="41" xfId="1" applyFont="1" applyFill="1" applyBorder="1" applyAlignment="1"/>
    <xf numFmtId="165" fontId="9" fillId="21" borderId="41" xfId="1" applyFont="1" applyFill="1" applyBorder="1"/>
    <xf numFmtId="0" fontId="19" fillId="0" borderId="41" xfId="0" applyFont="1" applyBorder="1"/>
    <xf numFmtId="165" fontId="9" fillId="0" borderId="41" xfId="1" applyFont="1" applyFill="1" applyBorder="1"/>
    <xf numFmtId="165" fontId="9" fillId="21" borderId="42" xfId="1" applyFont="1" applyFill="1" applyBorder="1"/>
    <xf numFmtId="164" fontId="19" fillId="0" borderId="9" xfId="0" applyNumberFormat="1" applyFont="1" applyFill="1" applyBorder="1"/>
    <xf numFmtId="165" fontId="9" fillId="0" borderId="3" xfId="1" applyFont="1" applyBorder="1" applyAlignment="1">
      <alignment horizontal="right"/>
    </xf>
    <xf numFmtId="165" fontId="9" fillId="0" borderId="4" xfId="1" applyFont="1" applyBorder="1" applyAlignment="1">
      <alignment horizontal="right"/>
    </xf>
    <xf numFmtId="165" fontId="9" fillId="0" borderId="5" xfId="1" applyFont="1" applyBorder="1" applyAlignment="1">
      <alignment horizontal="right"/>
    </xf>
    <xf numFmtId="165" fontId="16" fillId="0" borderId="2" xfId="1" applyFont="1" applyBorder="1"/>
    <xf numFmtId="165" fontId="19" fillId="0" borderId="0" xfId="1" applyFont="1" applyBorder="1"/>
    <xf numFmtId="165" fontId="19" fillId="0" borderId="0" xfId="0" applyNumberFormat="1" applyFont="1" applyBorder="1"/>
    <xf numFmtId="165" fontId="28" fillId="0" borderId="75" xfId="1" applyFont="1" applyFill="1" applyBorder="1" applyAlignment="1">
      <alignment vertical="center"/>
    </xf>
    <xf numFmtId="0" fontId="28" fillId="0" borderId="76" xfId="0" applyFont="1" applyFill="1" applyBorder="1"/>
    <xf numFmtId="0" fontId="6" fillId="0" borderId="58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center" vertical="center" wrapText="1" shrinkToFit="1"/>
    </xf>
    <xf numFmtId="0" fontId="7" fillId="13" borderId="66" xfId="0" applyFont="1" applyFill="1" applyBorder="1" applyAlignment="1">
      <alignment horizontal="center" vertical="center" textRotation="90" wrapText="1" shrinkToFit="1"/>
    </xf>
    <xf numFmtId="0" fontId="7" fillId="13" borderId="0" xfId="0" applyFont="1" applyFill="1" applyBorder="1" applyAlignment="1">
      <alignment horizontal="center" vertical="center" textRotation="90" wrapText="1" shrinkToFit="1"/>
    </xf>
    <xf numFmtId="0" fontId="7" fillId="13" borderId="62" xfId="0" applyFont="1" applyFill="1" applyBorder="1" applyAlignment="1">
      <alignment horizontal="center" vertical="center" textRotation="90" wrapText="1" shrinkToFit="1"/>
    </xf>
    <xf numFmtId="0" fontId="9" fillId="0" borderId="17" xfId="0" applyFont="1" applyFill="1" applyBorder="1" applyAlignment="1">
      <alignment horizontal="center" vertical="center" wrapText="1" shrinkToFit="1"/>
    </xf>
    <xf numFmtId="0" fontId="9" fillId="0" borderId="9" xfId="0" applyFont="1" applyFill="1" applyBorder="1" applyAlignment="1">
      <alignment horizontal="center" vertical="center" wrapText="1" shrinkToFit="1"/>
    </xf>
    <xf numFmtId="0" fontId="7" fillId="0" borderId="17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7" fillId="3" borderId="30" xfId="0" applyFont="1" applyFill="1" applyBorder="1" applyAlignment="1">
      <alignment horizontal="center" vertical="center" textRotation="90" wrapText="1"/>
    </xf>
    <xf numFmtId="0" fontId="7" fillId="3" borderId="52" xfId="0" applyFont="1" applyFill="1" applyBorder="1" applyAlignment="1">
      <alignment horizontal="center" vertical="center" textRotation="90" wrapText="1"/>
    </xf>
    <xf numFmtId="0" fontId="7" fillId="3" borderId="64" xfId="0" applyFont="1" applyFill="1" applyBorder="1" applyAlignment="1">
      <alignment horizontal="center" vertical="center" textRotation="90" wrapText="1"/>
    </xf>
    <xf numFmtId="0" fontId="28" fillId="2" borderId="15" xfId="0" applyFont="1" applyFill="1" applyBorder="1" applyAlignment="1">
      <alignment horizontal="left" vertical="center" wrapText="1"/>
    </xf>
    <xf numFmtId="0" fontId="28" fillId="2" borderId="57" xfId="0" applyFont="1" applyFill="1" applyBorder="1" applyAlignment="1">
      <alignment horizontal="left" vertical="center" wrapText="1"/>
    </xf>
    <xf numFmtId="0" fontId="60" fillId="0" borderId="28" xfId="0" applyFont="1" applyBorder="1" applyAlignment="1">
      <alignment horizontal="center"/>
    </xf>
    <xf numFmtId="0" fontId="60" fillId="0" borderId="51" xfId="0" applyFont="1" applyBorder="1" applyAlignment="1">
      <alignment horizontal="center"/>
    </xf>
    <xf numFmtId="0" fontId="60" fillId="0" borderId="35" xfId="0" applyFont="1" applyBorder="1" applyAlignment="1">
      <alignment horizontal="center"/>
    </xf>
    <xf numFmtId="0" fontId="34" fillId="14" borderId="10" xfId="0" applyFont="1" applyFill="1" applyBorder="1" applyAlignment="1">
      <alignment horizontal="center" vertical="center"/>
    </xf>
    <xf numFmtId="0" fontId="34" fillId="14" borderId="12" xfId="0" applyFont="1" applyFill="1" applyBorder="1" applyAlignment="1">
      <alignment horizontal="center" vertical="center"/>
    </xf>
    <xf numFmtId="0" fontId="34" fillId="3" borderId="17" xfId="0" applyFont="1" applyFill="1" applyBorder="1" applyAlignment="1">
      <alignment horizontal="center" vertical="center"/>
    </xf>
    <xf numFmtId="0" fontId="34" fillId="3" borderId="24" xfId="0" applyFont="1" applyFill="1" applyBorder="1" applyAlignment="1">
      <alignment horizontal="center" vertical="center"/>
    </xf>
    <xf numFmtId="0" fontId="28" fillId="0" borderId="73" xfId="0" applyFont="1" applyFill="1" applyBorder="1" applyAlignment="1">
      <alignment horizontal="left" vertical="justify" wrapText="1"/>
    </xf>
    <xf numFmtId="0" fontId="28" fillId="0" borderId="34" xfId="0" applyFont="1" applyFill="1" applyBorder="1" applyAlignment="1">
      <alignment horizontal="left" vertical="justify" wrapText="1"/>
    </xf>
    <xf numFmtId="0" fontId="28" fillId="0" borderId="15" xfId="0" applyFont="1" applyFill="1" applyBorder="1" applyAlignment="1">
      <alignment horizontal="left" vertical="center" wrapText="1"/>
    </xf>
    <xf numFmtId="0" fontId="28" fillId="0" borderId="57" xfId="0" applyFont="1" applyFill="1" applyBorder="1" applyAlignment="1">
      <alignment horizontal="left" vertical="center" wrapText="1"/>
    </xf>
    <xf numFmtId="0" fontId="27" fillId="16" borderId="17" xfId="0" applyFont="1" applyFill="1" applyBorder="1" applyAlignment="1">
      <alignment horizontal="left" vertical="center" wrapText="1"/>
    </xf>
    <xf numFmtId="0" fontId="27" fillId="16" borderId="24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/>
    </xf>
    <xf numFmtId="0" fontId="28" fillId="2" borderId="15" xfId="0" applyFont="1" applyFill="1" applyBorder="1" applyAlignment="1">
      <alignment horizontal="left"/>
    </xf>
    <xf numFmtId="0" fontId="28" fillId="2" borderId="57" xfId="0" applyFont="1" applyFill="1" applyBorder="1" applyAlignment="1">
      <alignment horizontal="left"/>
    </xf>
    <xf numFmtId="0" fontId="28" fillId="2" borderId="49" xfId="0" applyFont="1" applyFill="1" applyBorder="1" applyAlignment="1">
      <alignment horizontal="left" vertical="center" wrapText="1"/>
    </xf>
    <xf numFmtId="0" fontId="28" fillId="2" borderId="35" xfId="0" applyFont="1" applyFill="1" applyBorder="1" applyAlignment="1">
      <alignment horizontal="left" vertical="center" wrapText="1"/>
    </xf>
    <xf numFmtId="0" fontId="27" fillId="16" borderId="29" xfId="0" applyFont="1" applyFill="1" applyBorder="1" applyAlignment="1">
      <alignment horizontal="left" vertical="center" wrapText="1"/>
    </xf>
    <xf numFmtId="0" fontId="27" fillId="16" borderId="23" xfId="0" applyFont="1" applyFill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8" fillId="0" borderId="19" xfId="0" applyFont="1" applyFill="1" applyBorder="1" applyAlignment="1">
      <alignment horizontal="left" vertical="center" wrapText="1"/>
    </xf>
    <xf numFmtId="0" fontId="28" fillId="0" borderId="48" xfId="0" applyFont="1" applyFill="1" applyBorder="1" applyAlignment="1">
      <alignment horizontal="left" vertical="center" wrapText="1"/>
    </xf>
    <xf numFmtId="0" fontId="28" fillId="0" borderId="27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42" fillId="9" borderId="17" xfId="0" applyFont="1" applyFill="1" applyBorder="1" applyAlignment="1">
      <alignment horizontal="center" vertical="center" wrapText="1" shrinkToFit="1"/>
    </xf>
    <xf numFmtId="0" fontId="42" fillId="9" borderId="8" xfId="0" applyFont="1" applyFill="1" applyBorder="1" applyAlignment="1">
      <alignment horizontal="center" vertical="center" wrapText="1" shrinkToFit="1"/>
    </xf>
    <xf numFmtId="0" fontId="42" fillId="9" borderId="9" xfId="0" applyFont="1" applyFill="1" applyBorder="1" applyAlignment="1">
      <alignment horizontal="center" vertical="center" wrapText="1" shrinkToFit="1"/>
    </xf>
    <xf numFmtId="0" fontId="7" fillId="9" borderId="17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42" fillId="9" borderId="17" xfId="0" applyFont="1" applyFill="1" applyBorder="1" applyAlignment="1">
      <alignment horizontal="center"/>
    </xf>
    <xf numFmtId="0" fontId="42" fillId="9" borderId="9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left" vertical="center" wrapText="1" shrinkToFit="1"/>
    </xf>
    <xf numFmtId="0" fontId="8" fillId="0" borderId="61" xfId="0" applyFont="1" applyFill="1" applyBorder="1" applyAlignment="1">
      <alignment horizontal="left" vertical="center" wrapText="1" shrinkToFit="1"/>
    </xf>
    <xf numFmtId="0" fontId="17" fillId="0" borderId="17" xfId="0" applyFont="1" applyBorder="1" applyAlignment="1">
      <alignment horizontal="center" vertical="justify"/>
    </xf>
    <xf numFmtId="0" fontId="17" fillId="0" borderId="8" xfId="0" applyFont="1" applyBorder="1" applyAlignment="1">
      <alignment horizontal="center" vertical="justify"/>
    </xf>
    <xf numFmtId="0" fontId="17" fillId="0" borderId="9" xfId="0" applyFont="1" applyBorder="1" applyAlignment="1">
      <alignment horizontal="center" vertical="justify"/>
    </xf>
    <xf numFmtId="0" fontId="8" fillId="0" borderId="48" xfId="0" applyFont="1" applyFill="1" applyBorder="1" applyAlignment="1">
      <alignment horizontal="left" vertical="center" wrapText="1" shrinkToFit="1"/>
    </xf>
    <xf numFmtId="0" fontId="8" fillId="0" borderId="3" xfId="0" applyFont="1" applyFill="1" applyBorder="1" applyAlignment="1">
      <alignment horizontal="left" vertical="center" wrapText="1" shrinkToFit="1"/>
    </xf>
    <xf numFmtId="0" fontId="9" fillId="10" borderId="17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/>
    </xf>
    <xf numFmtId="0" fontId="16" fillId="15" borderId="30" xfId="0" applyFont="1" applyFill="1" applyBorder="1" applyAlignment="1">
      <alignment horizontal="center" vertical="center" wrapText="1"/>
    </xf>
    <xf numFmtId="0" fontId="16" fillId="15" borderId="52" xfId="0" applyFont="1" applyFill="1" applyBorder="1" applyAlignment="1">
      <alignment horizontal="center" vertical="center" wrapText="1"/>
    </xf>
    <xf numFmtId="0" fontId="16" fillId="15" borderId="64" xfId="0" applyFont="1" applyFill="1" applyBorder="1" applyAlignment="1">
      <alignment horizontal="center" vertical="center" wrapText="1"/>
    </xf>
    <xf numFmtId="0" fontId="4" fillId="22" borderId="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 shrinkToFit="1"/>
    </xf>
    <xf numFmtId="0" fontId="9" fillId="0" borderId="67" xfId="0" applyFont="1" applyFill="1" applyBorder="1" applyAlignment="1">
      <alignment horizontal="center" vertical="center" wrapText="1" shrinkToFit="1"/>
    </xf>
    <xf numFmtId="0" fontId="16" fillId="10" borderId="30" xfId="0" applyFont="1" applyFill="1" applyBorder="1" applyAlignment="1">
      <alignment horizontal="center" vertical="center" wrapText="1" shrinkToFit="1"/>
    </xf>
    <xf numFmtId="0" fontId="16" fillId="10" borderId="52" xfId="0" applyFont="1" applyFill="1" applyBorder="1" applyAlignment="1">
      <alignment horizontal="center" vertical="center" wrapText="1" shrinkToFit="1"/>
    </xf>
    <xf numFmtId="0" fontId="16" fillId="10" borderId="64" xfId="0" applyFont="1" applyFill="1" applyBorder="1" applyAlignment="1">
      <alignment horizontal="center" vertical="center" wrapText="1" shrinkToFit="1"/>
    </xf>
    <xf numFmtId="0" fontId="16" fillId="10" borderId="30" xfId="0" applyFont="1" applyFill="1" applyBorder="1" applyAlignment="1">
      <alignment horizontal="center" vertical="center" wrapText="1"/>
    </xf>
    <xf numFmtId="0" fontId="16" fillId="10" borderId="52" xfId="0" applyFont="1" applyFill="1" applyBorder="1" applyAlignment="1">
      <alignment horizontal="center" vertical="center" wrapText="1"/>
    </xf>
    <xf numFmtId="0" fontId="16" fillId="10" borderId="64" xfId="0" applyFont="1" applyFill="1" applyBorder="1" applyAlignment="1">
      <alignment horizontal="center" vertical="center" wrapText="1"/>
    </xf>
    <xf numFmtId="0" fontId="16" fillId="18" borderId="30" xfId="0" applyFont="1" applyFill="1" applyBorder="1" applyAlignment="1">
      <alignment horizontal="center" vertical="center" wrapText="1"/>
    </xf>
    <xf numFmtId="0" fontId="16" fillId="18" borderId="52" xfId="0" applyFont="1" applyFill="1" applyBorder="1" applyAlignment="1">
      <alignment horizontal="center" vertical="center" wrapText="1"/>
    </xf>
    <xf numFmtId="0" fontId="16" fillId="18" borderId="64" xfId="0" applyFont="1" applyFill="1" applyBorder="1" applyAlignment="1">
      <alignment horizontal="center" vertical="center" wrapText="1"/>
    </xf>
    <xf numFmtId="0" fontId="16" fillId="16" borderId="30" xfId="0" applyFont="1" applyFill="1" applyBorder="1" applyAlignment="1">
      <alignment horizontal="center" vertical="center" wrapText="1"/>
    </xf>
    <xf numFmtId="0" fontId="16" fillId="16" borderId="64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 shrinkToFit="1"/>
    </xf>
    <xf numFmtId="0" fontId="6" fillId="0" borderId="64" xfId="0" applyFont="1" applyFill="1" applyBorder="1" applyAlignment="1">
      <alignment horizontal="center" vertical="center" wrapText="1" shrinkToFit="1"/>
    </xf>
    <xf numFmtId="0" fontId="12" fillId="0" borderId="30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2" fontId="6" fillId="0" borderId="18" xfId="0" applyNumberFormat="1" applyFont="1" applyFill="1" applyBorder="1" applyAlignment="1">
      <alignment horizontal="center" wrapText="1" shrinkToFit="1"/>
    </xf>
    <xf numFmtId="2" fontId="6" fillId="0" borderId="67" xfId="0" applyNumberFormat="1" applyFont="1" applyFill="1" applyBorder="1" applyAlignment="1">
      <alignment horizontal="center" wrapText="1" shrinkToFit="1"/>
    </xf>
    <xf numFmtId="0" fontId="12" fillId="0" borderId="1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5"/>
  <sheetViews>
    <sheetView workbookViewId="0">
      <selection sqref="A1:XFD1"/>
    </sheetView>
  </sheetViews>
  <sheetFormatPr defaultRowHeight="12.75" x14ac:dyDescent="0.2"/>
  <cols>
    <col min="2" max="2" width="4.7109375" customWidth="1"/>
    <col min="3" max="3" width="29.5703125" customWidth="1"/>
    <col min="4" max="6" width="11.28515625" customWidth="1"/>
    <col min="7" max="7" width="12.5703125" customWidth="1"/>
    <col min="8" max="8" width="13.28515625" style="148" customWidth="1"/>
    <col min="9" max="9" width="13.5703125" customWidth="1"/>
    <col min="10" max="10" width="15.85546875" customWidth="1"/>
    <col min="11" max="11" width="13.85546875" customWidth="1"/>
    <col min="12" max="12" width="15.5703125" customWidth="1"/>
    <col min="14" max="14" width="8" customWidth="1"/>
    <col min="15" max="15" width="10" customWidth="1"/>
    <col min="16" max="16" width="7.85546875" customWidth="1"/>
    <col min="17" max="17" width="12.140625" customWidth="1"/>
    <col min="18" max="18" width="13.5703125" customWidth="1"/>
  </cols>
  <sheetData>
    <row r="1" spans="1:18" ht="36.75" customHeight="1" x14ac:dyDescent="0.25">
      <c r="A1" s="64" t="s">
        <v>189</v>
      </c>
      <c r="B1" s="64"/>
      <c r="C1" s="14"/>
      <c r="D1" s="14"/>
      <c r="E1" s="14"/>
      <c r="F1" s="14"/>
      <c r="G1" s="14"/>
      <c r="H1" s="14"/>
      <c r="I1" s="148"/>
      <c r="J1" s="74" t="s">
        <v>118</v>
      </c>
      <c r="K1" s="74"/>
      <c r="L1" s="74"/>
      <c r="M1" s="2"/>
      <c r="N1" s="237"/>
      <c r="O1" s="237"/>
      <c r="P1" s="237"/>
      <c r="Q1" s="237"/>
    </row>
    <row r="2" spans="1:18" ht="15" x14ac:dyDescent="0.25">
      <c r="A2" s="64" t="s">
        <v>113</v>
      </c>
      <c r="B2" s="64"/>
      <c r="C2" s="2"/>
      <c r="D2" s="2"/>
      <c r="E2" s="2"/>
      <c r="F2" s="2"/>
      <c r="G2" s="238"/>
      <c r="H2" s="238"/>
      <c r="I2" s="148"/>
      <c r="J2" s="74" t="s">
        <v>226</v>
      </c>
      <c r="K2" s="74"/>
      <c r="L2" s="74"/>
      <c r="M2" s="2"/>
      <c r="N2" s="237"/>
      <c r="O2" s="237"/>
      <c r="P2" s="237"/>
      <c r="Q2" s="237"/>
    </row>
    <row r="3" spans="1:18" ht="14.25" x14ac:dyDescent="0.2">
      <c r="A3" s="2"/>
      <c r="B3" s="2"/>
      <c r="C3" s="6"/>
      <c r="D3" s="6"/>
      <c r="E3" s="382"/>
      <c r="F3" s="382"/>
      <c r="G3" s="382"/>
      <c r="H3" s="238"/>
      <c r="I3" s="238"/>
      <c r="J3" s="97"/>
      <c r="K3" s="97"/>
      <c r="L3" s="97"/>
      <c r="M3" s="2"/>
      <c r="N3" s="71"/>
      <c r="O3" s="71"/>
      <c r="P3" s="71"/>
      <c r="Q3" s="71"/>
    </row>
    <row r="4" spans="1:18" ht="13.5" thickBot="1" x14ac:dyDescent="0.25">
      <c r="A4" s="148"/>
      <c r="B4" s="148"/>
      <c r="C4" s="11"/>
      <c r="D4" s="11"/>
      <c r="E4" s="699" t="s">
        <v>221</v>
      </c>
      <c r="F4" s="700"/>
      <c r="G4" s="701"/>
      <c r="H4" s="11"/>
      <c r="I4" s="11"/>
      <c r="J4" s="11"/>
      <c r="K4" s="11"/>
      <c r="L4" s="11"/>
      <c r="M4" s="148"/>
      <c r="N4" s="148"/>
      <c r="O4" s="148"/>
      <c r="P4" s="148"/>
      <c r="Q4" s="148"/>
    </row>
    <row r="5" spans="1:18" ht="82.5" customHeight="1" thickBot="1" x14ac:dyDescent="0.25">
      <c r="A5" s="704" t="s">
        <v>28</v>
      </c>
      <c r="B5" s="707" t="s">
        <v>110</v>
      </c>
      <c r="C5" s="708"/>
      <c r="D5" s="625" t="s">
        <v>272</v>
      </c>
      <c r="E5" s="626" t="s">
        <v>227</v>
      </c>
      <c r="F5" s="626" t="s">
        <v>232</v>
      </c>
      <c r="G5" s="627" t="s">
        <v>114</v>
      </c>
      <c r="H5" s="628" t="s">
        <v>273</v>
      </c>
      <c r="I5" s="629" t="s">
        <v>103</v>
      </c>
      <c r="J5" s="630" t="s">
        <v>116</v>
      </c>
      <c r="K5" s="626" t="s">
        <v>117</v>
      </c>
      <c r="L5" s="629" t="s">
        <v>104</v>
      </c>
      <c r="M5" s="631" t="s">
        <v>47</v>
      </c>
      <c r="N5" s="631" t="s">
        <v>78</v>
      </c>
      <c r="O5" s="632" t="s">
        <v>11</v>
      </c>
      <c r="P5" s="631" t="s">
        <v>73</v>
      </c>
      <c r="Q5" s="633" t="s">
        <v>74</v>
      </c>
    </row>
    <row r="6" spans="1:18" ht="18.75" customHeight="1" x14ac:dyDescent="0.2">
      <c r="A6" s="705"/>
      <c r="B6" s="529">
        <v>1</v>
      </c>
      <c r="C6" s="681">
        <v>2</v>
      </c>
      <c r="D6" s="682">
        <v>3</v>
      </c>
      <c r="E6" s="682"/>
      <c r="F6" s="337"/>
      <c r="G6" s="339">
        <v>7</v>
      </c>
      <c r="H6" s="339">
        <v>8</v>
      </c>
      <c r="I6" s="339">
        <v>9</v>
      </c>
      <c r="J6" s="339">
        <v>10</v>
      </c>
      <c r="K6" s="338">
        <v>11</v>
      </c>
      <c r="L6" s="483">
        <v>12</v>
      </c>
      <c r="M6" s="683">
        <v>13</v>
      </c>
      <c r="N6" s="684">
        <v>14</v>
      </c>
      <c r="O6" s="484">
        <v>15</v>
      </c>
      <c r="P6" s="485">
        <v>16</v>
      </c>
      <c r="Q6" s="486">
        <v>17</v>
      </c>
    </row>
    <row r="7" spans="1:18" ht="22.5" customHeight="1" x14ac:dyDescent="0.2">
      <c r="A7" s="705"/>
      <c r="B7" s="120">
        <v>1</v>
      </c>
      <c r="C7" s="375" t="s">
        <v>111</v>
      </c>
      <c r="D7" s="150">
        <f>SUM(E7:G7)</f>
        <v>33333.333333333336</v>
      </c>
      <c r="E7" s="379">
        <v>21450</v>
      </c>
      <c r="F7" s="379">
        <v>7550</v>
      </c>
      <c r="G7" s="152">
        <f>($E7+$F7)/87*13</f>
        <v>4333.333333333333</v>
      </c>
      <c r="H7" s="563">
        <f>$D7*0.302</f>
        <v>10066.666666666668</v>
      </c>
      <c r="I7" s="154">
        <f>D7+H7</f>
        <v>43400</v>
      </c>
      <c r="J7" s="581">
        <f>I7*12</f>
        <v>520800</v>
      </c>
      <c r="K7" s="12">
        <f>I7*0.75</f>
        <v>32550</v>
      </c>
      <c r="L7" s="155">
        <f>K7+J7</f>
        <v>553350</v>
      </c>
      <c r="M7" s="8">
        <f>'Площади помещений'!D19+'Площади помещений'!E19</f>
        <v>13107.8</v>
      </c>
      <c r="N7" s="9">
        <f>'Площади помещений'!F19</f>
        <v>421</v>
      </c>
      <c r="O7" s="9">
        <f>'Площади помещений'!G19</f>
        <v>3175.6</v>
      </c>
      <c r="P7" s="119">
        <f>L7/(M7+N7+O7)</f>
        <v>33.126002729819696</v>
      </c>
      <c r="Q7" s="582">
        <f>P7/12</f>
        <v>2.7605002274849748</v>
      </c>
      <c r="R7" s="565"/>
    </row>
    <row r="8" spans="1:18" ht="22.5" customHeight="1" x14ac:dyDescent="0.2">
      <c r="A8" s="705"/>
      <c r="B8" s="121">
        <v>2</v>
      </c>
      <c r="C8" s="376" t="s">
        <v>252</v>
      </c>
      <c r="D8" s="150">
        <f t="shared" ref="D8:D22" si="0">SUM(E8:G8)</f>
        <v>14942.528735632184</v>
      </c>
      <c r="E8" s="379">
        <v>9000</v>
      </c>
      <c r="F8" s="379">
        <v>4000</v>
      </c>
      <c r="G8" s="152">
        <f t="shared" ref="G8:G22" si="1">($E8+$F8)/87*13</f>
        <v>1942.5287356321837</v>
      </c>
      <c r="H8" s="563">
        <f t="shared" ref="H8:H22" si="2">$D8*0.302</f>
        <v>4512.6436781609191</v>
      </c>
      <c r="I8" s="154">
        <f t="shared" ref="I8:I22" si="3">D8+H8</f>
        <v>19455.172413793101</v>
      </c>
      <c r="J8" s="581">
        <f>I8*12</f>
        <v>233462.06896551722</v>
      </c>
      <c r="K8" s="12">
        <v>0</v>
      </c>
      <c r="L8" s="154">
        <f t="shared" ref="L8:L14" si="4">K8+J8</f>
        <v>233462.06896551722</v>
      </c>
      <c r="M8" s="8">
        <f t="shared" ref="M8:O14" si="5">M7</f>
        <v>13107.8</v>
      </c>
      <c r="N8" s="9">
        <f t="shared" si="5"/>
        <v>421</v>
      </c>
      <c r="O8" s="9">
        <f t="shared" si="5"/>
        <v>3175.6</v>
      </c>
      <c r="P8" s="119">
        <f>L8/(M8+N8+O8)</f>
        <v>13.976082287631836</v>
      </c>
      <c r="Q8" s="583">
        <f t="shared" ref="Q8:Q14" si="6">P8/12</f>
        <v>1.1646735239693198</v>
      </c>
      <c r="R8" s="565"/>
    </row>
    <row r="9" spans="1:18" ht="22.5" customHeight="1" x14ac:dyDescent="0.2">
      <c r="A9" s="705"/>
      <c r="B9" s="121">
        <v>3</v>
      </c>
      <c r="C9" s="376" t="s">
        <v>251</v>
      </c>
      <c r="D9" s="150">
        <f t="shared" si="0"/>
        <v>9195.4022988505749</v>
      </c>
      <c r="E9" s="379">
        <v>6000</v>
      </c>
      <c r="F9" s="379">
        <v>2000</v>
      </c>
      <c r="G9" s="152">
        <f t="shared" si="1"/>
        <v>1195.4022988505747</v>
      </c>
      <c r="H9" s="563">
        <f t="shared" si="2"/>
        <v>2777.0114942528735</v>
      </c>
      <c r="I9" s="154">
        <f t="shared" si="3"/>
        <v>11972.413793103449</v>
      </c>
      <c r="J9" s="581">
        <f t="shared" ref="J9:J14" si="7">I9*12</f>
        <v>143668.96551724139</v>
      </c>
      <c r="K9" s="12">
        <f t="shared" ref="K9:K14" si="8">I9</f>
        <v>11972.413793103449</v>
      </c>
      <c r="L9" s="154">
        <f t="shared" si="4"/>
        <v>155641.37931034484</v>
      </c>
      <c r="M9" s="8">
        <f t="shared" si="5"/>
        <v>13107.8</v>
      </c>
      <c r="N9" s="9">
        <f t="shared" si="5"/>
        <v>421</v>
      </c>
      <c r="O9" s="9">
        <f t="shared" si="5"/>
        <v>3175.6</v>
      </c>
      <c r="P9" s="119">
        <f t="shared" ref="P9:P14" si="9">L9/(M9+N9+O9)</f>
        <v>9.31738819175456</v>
      </c>
      <c r="Q9" s="583">
        <f t="shared" si="6"/>
        <v>0.77644901597954663</v>
      </c>
      <c r="R9" s="565"/>
    </row>
    <row r="10" spans="1:18" ht="22.5" customHeight="1" x14ac:dyDescent="0.2">
      <c r="A10" s="705"/>
      <c r="B10" s="121">
        <v>4</v>
      </c>
      <c r="C10" s="376" t="s">
        <v>112</v>
      </c>
      <c r="D10" s="150">
        <f t="shared" si="0"/>
        <v>11494.252873563219</v>
      </c>
      <c r="E10" s="379">
        <v>6000</v>
      </c>
      <c r="F10" s="379">
        <v>4000</v>
      </c>
      <c r="G10" s="152">
        <f t="shared" si="1"/>
        <v>1494.2528735632184</v>
      </c>
      <c r="H10" s="563">
        <f t="shared" si="2"/>
        <v>3471.2643678160921</v>
      </c>
      <c r="I10" s="154">
        <f t="shared" si="3"/>
        <v>14965.517241379312</v>
      </c>
      <c r="J10" s="581">
        <f t="shared" si="7"/>
        <v>179586.20689655174</v>
      </c>
      <c r="K10" s="12">
        <f t="shared" si="8"/>
        <v>14965.517241379312</v>
      </c>
      <c r="L10" s="154">
        <f t="shared" si="4"/>
        <v>194551.72413793104</v>
      </c>
      <c r="M10" s="8">
        <f t="shared" si="5"/>
        <v>13107.8</v>
      </c>
      <c r="N10" s="9">
        <f t="shared" si="5"/>
        <v>421</v>
      </c>
      <c r="O10" s="9">
        <f t="shared" si="5"/>
        <v>3175.6</v>
      </c>
      <c r="P10" s="119">
        <f t="shared" si="9"/>
        <v>11.646735239693198</v>
      </c>
      <c r="Q10" s="583">
        <f t="shared" si="6"/>
        <v>0.97056126997443315</v>
      </c>
      <c r="R10" s="565"/>
    </row>
    <row r="11" spans="1:18" ht="22.5" customHeight="1" x14ac:dyDescent="0.2">
      <c r="A11" s="705"/>
      <c r="B11" s="121">
        <v>5</v>
      </c>
      <c r="C11" s="376" t="s">
        <v>253</v>
      </c>
      <c r="D11" s="150">
        <f t="shared" si="0"/>
        <v>10919.540229885057</v>
      </c>
      <c r="E11" s="379">
        <v>6000</v>
      </c>
      <c r="F11" s="379">
        <v>3500</v>
      </c>
      <c r="G11" s="152">
        <f t="shared" si="1"/>
        <v>1419.5402298850577</v>
      </c>
      <c r="H11" s="563">
        <f t="shared" si="2"/>
        <v>3297.701149425287</v>
      </c>
      <c r="I11" s="154">
        <f t="shared" si="3"/>
        <v>14217.241379310344</v>
      </c>
      <c r="J11" s="581">
        <f t="shared" si="7"/>
        <v>170606.89655172412</v>
      </c>
      <c r="K11" s="12">
        <f t="shared" si="8"/>
        <v>14217.241379310344</v>
      </c>
      <c r="L11" s="154">
        <f t="shared" si="4"/>
        <v>184824.13793103446</v>
      </c>
      <c r="M11" s="8">
        <f>M9</f>
        <v>13107.8</v>
      </c>
      <c r="N11" s="9">
        <f>N9</f>
        <v>421</v>
      </c>
      <c r="O11" s="9">
        <f>O9</f>
        <v>3175.6</v>
      </c>
      <c r="P11" s="119">
        <f t="shared" si="9"/>
        <v>11.064398477708536</v>
      </c>
      <c r="Q11" s="583">
        <f t="shared" si="6"/>
        <v>0.92203320647571141</v>
      </c>
      <c r="R11" s="565"/>
    </row>
    <row r="12" spans="1:18" ht="22.5" customHeight="1" x14ac:dyDescent="0.2">
      <c r="A12" s="705"/>
      <c r="B12" s="121">
        <v>6</v>
      </c>
      <c r="C12" s="376" t="s">
        <v>205</v>
      </c>
      <c r="D12" s="150">
        <f t="shared" si="0"/>
        <v>14942.528735632184</v>
      </c>
      <c r="E12" s="379">
        <v>8000</v>
      </c>
      <c r="F12" s="379">
        <v>5000</v>
      </c>
      <c r="G12" s="152">
        <f t="shared" si="1"/>
        <v>1942.5287356321837</v>
      </c>
      <c r="H12" s="563">
        <f t="shared" si="2"/>
        <v>4512.6436781609191</v>
      </c>
      <c r="I12" s="154">
        <f t="shared" si="3"/>
        <v>19455.172413793101</v>
      </c>
      <c r="J12" s="581">
        <f t="shared" si="7"/>
        <v>233462.06896551722</v>
      </c>
      <c r="K12" s="12">
        <f t="shared" si="8"/>
        <v>19455.172413793101</v>
      </c>
      <c r="L12" s="154">
        <f t="shared" si="4"/>
        <v>252917.24137931032</v>
      </c>
      <c r="M12" s="8">
        <f t="shared" si="5"/>
        <v>13107.8</v>
      </c>
      <c r="N12" s="9">
        <f t="shared" si="5"/>
        <v>421</v>
      </c>
      <c r="O12" s="9">
        <f t="shared" si="5"/>
        <v>3175.6</v>
      </c>
      <c r="P12" s="119">
        <f t="shared" si="9"/>
        <v>15.140755811601156</v>
      </c>
      <c r="Q12" s="583">
        <f t="shared" si="6"/>
        <v>1.261729650966763</v>
      </c>
      <c r="R12" s="565"/>
    </row>
    <row r="13" spans="1:18" ht="22.5" customHeight="1" x14ac:dyDescent="0.2">
      <c r="A13" s="705"/>
      <c r="B13" s="121">
        <v>7</v>
      </c>
      <c r="C13" s="376" t="s">
        <v>250</v>
      </c>
      <c r="D13" s="150">
        <f t="shared" si="0"/>
        <v>17241.379310344826</v>
      </c>
      <c r="E13" s="379">
        <v>10115</v>
      </c>
      <c r="F13" s="379">
        <v>4885</v>
      </c>
      <c r="G13" s="152">
        <f t="shared" si="1"/>
        <v>2241.3793103448279</v>
      </c>
      <c r="H13" s="563">
        <f t="shared" si="2"/>
        <v>5206.8965517241377</v>
      </c>
      <c r="I13" s="154">
        <f t="shared" si="3"/>
        <v>22448.275862068964</v>
      </c>
      <c r="J13" s="581">
        <f t="shared" si="7"/>
        <v>269379.31034482759</v>
      </c>
      <c r="K13" s="12">
        <f t="shared" si="8"/>
        <v>22448.275862068964</v>
      </c>
      <c r="L13" s="154">
        <f t="shared" si="4"/>
        <v>291827.58620689658</v>
      </c>
      <c r="M13" s="8">
        <f t="shared" si="5"/>
        <v>13107.8</v>
      </c>
      <c r="N13" s="9">
        <f t="shared" si="5"/>
        <v>421</v>
      </c>
      <c r="O13" s="9">
        <f t="shared" si="5"/>
        <v>3175.6</v>
      </c>
      <c r="P13" s="119">
        <f t="shared" si="9"/>
        <v>17.4701028595398</v>
      </c>
      <c r="Q13" s="583">
        <f t="shared" si="6"/>
        <v>1.45584190496165</v>
      </c>
      <c r="R13" s="565"/>
    </row>
    <row r="14" spans="1:18" ht="22.5" customHeight="1" thickBot="1" x14ac:dyDescent="0.25">
      <c r="A14" s="705"/>
      <c r="B14" s="584">
        <v>8</v>
      </c>
      <c r="C14" s="585" t="s">
        <v>249</v>
      </c>
      <c r="D14" s="586">
        <f t="shared" si="0"/>
        <v>4712.6436781609191</v>
      </c>
      <c r="E14" s="587">
        <v>2800</v>
      </c>
      <c r="F14" s="587">
        <v>1300</v>
      </c>
      <c r="G14" s="588">
        <f t="shared" si="1"/>
        <v>612.64367816091954</v>
      </c>
      <c r="H14" s="576">
        <f t="shared" si="2"/>
        <v>1423.2183908045974</v>
      </c>
      <c r="I14" s="589">
        <f t="shared" si="3"/>
        <v>6135.8620689655163</v>
      </c>
      <c r="J14" s="590">
        <f t="shared" si="7"/>
        <v>73630.344827586203</v>
      </c>
      <c r="K14" s="300">
        <f t="shared" si="8"/>
        <v>6135.8620689655163</v>
      </c>
      <c r="L14" s="589">
        <f t="shared" si="4"/>
        <v>79766.206896551725</v>
      </c>
      <c r="M14" s="591">
        <f t="shared" si="5"/>
        <v>13107.8</v>
      </c>
      <c r="N14" s="592">
        <f t="shared" si="5"/>
        <v>421</v>
      </c>
      <c r="O14" s="592">
        <f t="shared" si="5"/>
        <v>3175.6</v>
      </c>
      <c r="P14" s="579">
        <f t="shared" si="9"/>
        <v>4.7751614482742113</v>
      </c>
      <c r="Q14" s="583">
        <f t="shared" si="6"/>
        <v>0.39793012068951761</v>
      </c>
      <c r="R14" s="565"/>
    </row>
    <row r="15" spans="1:18" ht="39" customHeight="1" thickBot="1" x14ac:dyDescent="0.25">
      <c r="A15" s="705"/>
      <c r="B15" s="709" t="s">
        <v>80</v>
      </c>
      <c r="C15" s="710"/>
      <c r="D15" s="593">
        <f t="shared" si="0"/>
        <v>116781.6091954023</v>
      </c>
      <c r="E15" s="567">
        <f>SUM(E7:E14)</f>
        <v>69365</v>
      </c>
      <c r="F15" s="567">
        <f>SUM(F7:F14)</f>
        <v>32235</v>
      </c>
      <c r="G15" s="594">
        <f t="shared" si="1"/>
        <v>15181.6091954023</v>
      </c>
      <c r="H15" s="595">
        <f t="shared" si="2"/>
        <v>35268.04597701149</v>
      </c>
      <c r="I15" s="568">
        <f t="shared" si="3"/>
        <v>152049.6551724138</v>
      </c>
      <c r="J15" s="569">
        <f>SUM(J7:J14)</f>
        <v>1824595.8620689656</v>
      </c>
      <c r="K15" s="570">
        <f t="shared" ref="K15" si="10">SUM(K7:K14)</f>
        <v>121744.48275862068</v>
      </c>
      <c r="L15" s="568">
        <f>J15+K15</f>
        <v>1946340.3448275863</v>
      </c>
      <c r="M15" s="571"/>
      <c r="N15" s="572"/>
      <c r="O15" s="624"/>
      <c r="P15" s="634">
        <f>SUM(P7:P14)</f>
        <v>116.51662704602299</v>
      </c>
      <c r="Q15" s="573">
        <f>SUM(Q7:Q14)</f>
        <v>9.7097189205019152</v>
      </c>
      <c r="R15" s="565"/>
    </row>
    <row r="16" spans="1:18" ht="33.75" customHeight="1" thickBot="1" x14ac:dyDescent="0.25">
      <c r="A16" s="706"/>
      <c r="B16" s="596">
        <v>9</v>
      </c>
      <c r="C16" s="601" t="s">
        <v>254</v>
      </c>
      <c r="D16" s="593">
        <f t="shared" si="0"/>
        <v>5172.4022988505749</v>
      </c>
      <c r="E16" s="602">
        <v>3300</v>
      </c>
      <c r="F16" s="602">
        <v>1199.99</v>
      </c>
      <c r="G16" s="594">
        <f t="shared" si="1"/>
        <v>672.41229885057464</v>
      </c>
      <c r="H16" s="595">
        <f>$D16*0.302</f>
        <v>1562.0654942528736</v>
      </c>
      <c r="I16" s="568">
        <f t="shared" si="3"/>
        <v>6734.4677931034485</v>
      </c>
      <c r="J16" s="602">
        <f>I16*12</f>
        <v>80813.613517241378</v>
      </c>
      <c r="K16" s="603">
        <f>I16</f>
        <v>6734.4677931034485</v>
      </c>
      <c r="L16" s="568">
        <f>K16+J16</f>
        <v>87548.081310344831</v>
      </c>
      <c r="M16" s="604">
        <f>'Площади помещений'!D19</f>
        <v>12570.4</v>
      </c>
      <c r="N16" s="605">
        <v>0</v>
      </c>
      <c r="O16" s="605">
        <v>0</v>
      </c>
      <c r="P16" s="239">
        <f>L16/(M16+N16+O16)</f>
        <v>6.9646217551028471</v>
      </c>
      <c r="Q16" s="606">
        <f t="shared" ref="Q16:Q22" si="11">P16/12</f>
        <v>0.58038514625857063</v>
      </c>
      <c r="R16" s="565"/>
    </row>
    <row r="17" spans="1:18" ht="25.5" customHeight="1" x14ac:dyDescent="0.2">
      <c r="A17" s="711" t="s">
        <v>27</v>
      </c>
      <c r="B17" s="240">
        <v>1</v>
      </c>
      <c r="C17" s="597" t="s">
        <v>244</v>
      </c>
      <c r="D17" s="151">
        <f t="shared" si="0"/>
        <v>33211.321839080461</v>
      </c>
      <c r="E17" s="380">
        <v>21373</v>
      </c>
      <c r="F17" s="380">
        <v>7520.85</v>
      </c>
      <c r="G17" s="153">
        <f t="shared" si="1"/>
        <v>4317.4718390804601</v>
      </c>
      <c r="H17" s="564">
        <f t="shared" si="2"/>
        <v>10029.819195402299</v>
      </c>
      <c r="I17" s="574">
        <f t="shared" si="3"/>
        <v>43241.14103448276</v>
      </c>
      <c r="J17" s="564">
        <f>I17*12</f>
        <v>518893.69241379312</v>
      </c>
      <c r="K17" s="598">
        <f>I17</f>
        <v>43241.14103448276</v>
      </c>
      <c r="L17" s="574">
        <f>J17+K17</f>
        <v>562134.83344827592</v>
      </c>
      <c r="M17" s="607">
        <f>'Площади помещений'!D19-'Площади помещений'!D12</f>
        <v>9952.0999999999985</v>
      </c>
      <c r="N17" s="599"/>
      <c r="O17" s="600"/>
      <c r="P17" s="612">
        <f>L17/(M17+N17+O17)</f>
        <v>56.484041905555209</v>
      </c>
      <c r="Q17" s="616">
        <f t="shared" si="11"/>
        <v>4.7070034921296005</v>
      </c>
      <c r="R17" s="565"/>
    </row>
    <row r="18" spans="1:18" ht="25.5" customHeight="1" x14ac:dyDescent="0.2">
      <c r="A18" s="712"/>
      <c r="B18" s="122">
        <v>2</v>
      </c>
      <c r="C18" s="377" t="s">
        <v>245</v>
      </c>
      <c r="D18" s="150">
        <f t="shared" si="0"/>
        <v>46633.6091954023</v>
      </c>
      <c r="E18" s="380">
        <v>27490</v>
      </c>
      <c r="F18" s="380">
        <v>13081.24</v>
      </c>
      <c r="G18" s="152">
        <f t="shared" si="1"/>
        <v>6062.3691954022979</v>
      </c>
      <c r="H18" s="563">
        <f t="shared" si="2"/>
        <v>14083.349977011494</v>
      </c>
      <c r="I18" s="155">
        <f t="shared" si="3"/>
        <v>60716.959172413794</v>
      </c>
      <c r="J18" s="563">
        <f>I18*12</f>
        <v>728603.51006896549</v>
      </c>
      <c r="K18" s="12">
        <f>I18</f>
        <v>60716.959172413794</v>
      </c>
      <c r="L18" s="155">
        <f>K18+J18</f>
        <v>789320.46924137929</v>
      </c>
      <c r="M18" s="608">
        <f>'Площади помещений'!D19+'Площади помещений'!E19-'Площади помещений'!H12</f>
        <v>10206.599999999999</v>
      </c>
      <c r="N18" s="241">
        <f>'Площади помещений'!F19</f>
        <v>421</v>
      </c>
      <c r="O18" s="242">
        <f>'Площади помещений'!G19</f>
        <v>3175.6</v>
      </c>
      <c r="P18" s="613">
        <f>L18/(M18+N18+O18)</f>
        <v>57.18387542319023</v>
      </c>
      <c r="Q18" s="617">
        <f t="shared" si="11"/>
        <v>4.7653229519325189</v>
      </c>
      <c r="R18" s="565"/>
    </row>
    <row r="19" spans="1:18" ht="25.5" customHeight="1" x14ac:dyDescent="0.2">
      <c r="A19" s="712"/>
      <c r="B19" s="122">
        <v>3</v>
      </c>
      <c r="C19" s="377" t="s">
        <v>246</v>
      </c>
      <c r="D19" s="150">
        <f t="shared" si="0"/>
        <v>12643.67816091954</v>
      </c>
      <c r="E19" s="380">
        <v>8500</v>
      </c>
      <c r="F19" s="380">
        <v>2500</v>
      </c>
      <c r="G19" s="152">
        <f t="shared" si="1"/>
        <v>1643.6781609195402</v>
      </c>
      <c r="H19" s="563">
        <f t="shared" si="2"/>
        <v>3818.3908045977009</v>
      </c>
      <c r="I19" s="155">
        <f t="shared" si="3"/>
        <v>16462.068965517243</v>
      </c>
      <c r="J19" s="563">
        <f t="shared" ref="J19:J22" si="12">I19*12</f>
        <v>197544.8275862069</v>
      </c>
      <c r="K19" s="12">
        <f t="shared" ref="K19:K22" si="13">I19</f>
        <v>16462.068965517243</v>
      </c>
      <c r="L19" s="155">
        <f t="shared" ref="L19:L22" si="14">K19+J19</f>
        <v>214006.89655172414</v>
      </c>
      <c r="M19" s="609">
        <f>'Площади помещений'!H12</f>
        <v>2901.2000000000003</v>
      </c>
      <c r="N19" s="10">
        <v>0</v>
      </c>
      <c r="O19" s="118">
        <v>0</v>
      </c>
      <c r="P19" s="613">
        <f t="shared" ref="P19:P22" si="15">L19/(M19+N19+O19)</f>
        <v>73.764958138606133</v>
      </c>
      <c r="Q19" s="617">
        <f t="shared" si="11"/>
        <v>6.1470798448838444</v>
      </c>
      <c r="R19" s="565"/>
    </row>
    <row r="20" spans="1:18" ht="25.5" customHeight="1" x14ac:dyDescent="0.2">
      <c r="A20" s="712"/>
      <c r="B20" s="299">
        <v>4</v>
      </c>
      <c r="C20" s="575" t="s">
        <v>247</v>
      </c>
      <c r="D20" s="150">
        <f t="shared" si="0"/>
        <v>4375</v>
      </c>
      <c r="E20" s="381">
        <v>2450</v>
      </c>
      <c r="F20" s="381">
        <v>1356.25</v>
      </c>
      <c r="G20" s="152">
        <f t="shared" si="1"/>
        <v>568.75</v>
      </c>
      <c r="H20" s="563">
        <f t="shared" si="2"/>
        <v>1321.25</v>
      </c>
      <c r="I20" s="156">
        <f t="shared" si="3"/>
        <v>5696.25</v>
      </c>
      <c r="J20" s="576">
        <f t="shared" si="12"/>
        <v>68355</v>
      </c>
      <c r="K20" s="300">
        <f t="shared" si="13"/>
        <v>5696.25</v>
      </c>
      <c r="L20" s="156">
        <f t="shared" si="14"/>
        <v>74051.25</v>
      </c>
      <c r="M20" s="610"/>
      <c r="N20" s="577"/>
      <c r="O20" s="578">
        <v>3175</v>
      </c>
      <c r="P20" s="614">
        <f>L20/O20</f>
        <v>23.323228346456691</v>
      </c>
      <c r="Q20" s="618">
        <f>P20/12</f>
        <v>1.9436023622047243</v>
      </c>
      <c r="R20" s="565"/>
    </row>
    <row r="21" spans="1:18" ht="25.5" customHeight="1" x14ac:dyDescent="0.2">
      <c r="A21" s="712"/>
      <c r="B21" s="299">
        <v>5</v>
      </c>
      <c r="C21" s="580" t="s">
        <v>248</v>
      </c>
      <c r="D21" s="150">
        <f t="shared" si="0"/>
        <v>6125</v>
      </c>
      <c r="E21" s="379">
        <v>3010</v>
      </c>
      <c r="F21" s="379">
        <v>2318.75</v>
      </c>
      <c r="G21" s="152">
        <f t="shared" si="1"/>
        <v>796.25</v>
      </c>
      <c r="H21" s="563">
        <f>$D21*0.302</f>
        <v>1849.75</v>
      </c>
      <c r="I21" s="154">
        <f t="shared" si="3"/>
        <v>7974.75</v>
      </c>
      <c r="J21" s="576">
        <f t="shared" si="12"/>
        <v>95697</v>
      </c>
      <c r="K21" s="300">
        <f t="shared" si="13"/>
        <v>7974.75</v>
      </c>
      <c r="L21" s="154">
        <f t="shared" si="14"/>
        <v>103671.75</v>
      </c>
      <c r="M21" s="609"/>
      <c r="N21" s="577"/>
      <c r="O21" s="578">
        <v>3175</v>
      </c>
      <c r="P21" s="615">
        <f>L21/O21</f>
        <v>32.652519685039373</v>
      </c>
      <c r="Q21" s="617">
        <f>P21/12</f>
        <v>2.7210433070866142</v>
      </c>
      <c r="R21" s="565"/>
    </row>
    <row r="22" spans="1:18" ht="25.5" customHeight="1" thickBot="1" x14ac:dyDescent="0.25">
      <c r="A22" s="713"/>
      <c r="B22" s="299">
        <v>6</v>
      </c>
      <c r="C22" s="378" t="s">
        <v>115</v>
      </c>
      <c r="D22" s="586">
        <f t="shared" si="0"/>
        <v>16436.781609195401</v>
      </c>
      <c r="E22" s="381">
        <v>8600</v>
      </c>
      <c r="F22" s="381">
        <v>5700</v>
      </c>
      <c r="G22" s="588">
        <f t="shared" si="1"/>
        <v>2136.7816091954023</v>
      </c>
      <c r="H22" s="576">
        <f t="shared" si="2"/>
        <v>4963.9080459770112</v>
      </c>
      <c r="I22" s="156">
        <f t="shared" si="3"/>
        <v>21400.689655172413</v>
      </c>
      <c r="J22" s="576">
        <f t="shared" si="12"/>
        <v>256808.27586206896</v>
      </c>
      <c r="K22" s="300">
        <f t="shared" si="13"/>
        <v>21400.689655172413</v>
      </c>
      <c r="L22" s="156">
        <f t="shared" si="14"/>
        <v>278208.96551724139</v>
      </c>
      <c r="M22" s="611">
        <f>'Площади помещений'!D19+'Площади помещений'!E19</f>
        <v>13107.8</v>
      </c>
      <c r="N22" s="241">
        <f>'Площади помещений'!F19</f>
        <v>421</v>
      </c>
      <c r="O22" s="242">
        <v>3175.6</v>
      </c>
      <c r="P22" s="615">
        <f t="shared" si="15"/>
        <v>16.654831392761274</v>
      </c>
      <c r="Q22" s="618">
        <f t="shared" si="11"/>
        <v>1.3879026160634396</v>
      </c>
      <c r="R22" s="565"/>
    </row>
    <row r="23" spans="1:18" ht="19.5" customHeight="1" thickBot="1" x14ac:dyDescent="0.25">
      <c r="A23" s="7"/>
      <c r="B23" s="702" t="s">
        <v>29</v>
      </c>
      <c r="C23" s="703"/>
      <c r="D23" s="619">
        <f>SUM(D16:D22)</f>
        <v>124597.79310344829</v>
      </c>
      <c r="E23" s="619">
        <f>SUM(E16:E22)</f>
        <v>74723</v>
      </c>
      <c r="F23" s="619">
        <f>SUM(F16:F22)</f>
        <v>33677.08</v>
      </c>
      <c r="G23" s="620">
        <f t="shared" ref="G23:L23" si="16">SUM(G16:G22)</f>
        <v>16197.713103448275</v>
      </c>
      <c r="H23" s="619">
        <f t="shared" si="16"/>
        <v>37628.533517241376</v>
      </c>
      <c r="I23" s="619">
        <f>SUM(I16:I22)</f>
        <v>162226.32662068965</v>
      </c>
      <c r="J23" s="619">
        <f t="shared" si="16"/>
        <v>1946715.9194482758</v>
      </c>
      <c r="K23" s="619">
        <f t="shared" si="16"/>
        <v>162226.32662068965</v>
      </c>
      <c r="L23" s="619">
        <f t="shared" si="16"/>
        <v>2108942.2460689656</v>
      </c>
      <c r="M23" s="621"/>
      <c r="N23" s="621"/>
      <c r="O23" s="621"/>
      <c r="P23" s="622">
        <f>SUM(P16:P22)</f>
        <v>267.02807664671178</v>
      </c>
      <c r="Q23" s="623">
        <f>SUM(Q17:Q22)</f>
        <v>21.671954574300742</v>
      </c>
    </row>
    <row r="25" spans="1:18" x14ac:dyDescent="0.2">
      <c r="H25" s="566"/>
    </row>
  </sheetData>
  <mergeCells count="6">
    <mergeCell ref="E4:G4"/>
    <mergeCell ref="B23:C23"/>
    <mergeCell ref="A5:A16"/>
    <mergeCell ref="B5:C5"/>
    <mergeCell ref="B15:C15"/>
    <mergeCell ref="A17:A22"/>
  </mergeCells>
  <pageMargins left="0.22" right="0.11811023622047245" top="0" bottom="0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O82"/>
  <sheetViews>
    <sheetView topLeftCell="A13" workbookViewId="0">
      <selection activeCell="G22" sqref="G22:H22"/>
    </sheetView>
  </sheetViews>
  <sheetFormatPr defaultColWidth="9.140625" defaultRowHeight="12.75" x14ac:dyDescent="0.2"/>
  <cols>
    <col min="1" max="1" width="2.28515625" style="182" customWidth="1"/>
    <col min="2" max="2" width="4.42578125" style="182" customWidth="1"/>
    <col min="3" max="3" width="39.5703125" style="182" customWidth="1"/>
    <col min="4" max="4" width="12.140625" style="182" customWidth="1"/>
    <col min="5" max="5" width="11.28515625" style="182" customWidth="1"/>
    <col min="6" max="7" width="9.85546875" style="182" customWidth="1"/>
    <col min="8" max="8" width="35.5703125" style="182" customWidth="1"/>
    <col min="9" max="9" width="13" style="182" customWidth="1"/>
    <col min="10" max="10" width="11.28515625" style="182" bestFit="1" customWidth="1"/>
    <col min="11" max="11" width="12.140625" style="182" customWidth="1"/>
    <col min="12" max="16384" width="9.140625" style="182"/>
  </cols>
  <sheetData>
    <row r="1" spans="2:15" ht="14.25" x14ac:dyDescent="0.2">
      <c r="B1" s="179" t="s">
        <v>189</v>
      </c>
      <c r="C1" s="180"/>
      <c r="D1" s="180"/>
      <c r="E1" s="180"/>
      <c r="F1" s="181"/>
      <c r="H1" s="183" t="s">
        <v>118</v>
      </c>
      <c r="I1" s="183"/>
      <c r="J1" s="183"/>
      <c r="K1" s="183"/>
    </row>
    <row r="2" spans="2:15" ht="14.25" x14ac:dyDescent="0.2">
      <c r="B2" s="179" t="s">
        <v>66</v>
      </c>
      <c r="F2" s="180"/>
      <c r="H2" s="183" t="s">
        <v>228</v>
      </c>
      <c r="I2" s="183"/>
      <c r="J2" s="183"/>
      <c r="K2" s="183"/>
    </row>
    <row r="3" spans="2:15" x14ac:dyDescent="0.2">
      <c r="C3" s="184"/>
      <c r="D3" s="184"/>
      <c r="E3" s="184"/>
      <c r="H3" s="185"/>
      <c r="I3" s="185"/>
      <c r="J3" s="185"/>
      <c r="K3" s="185"/>
      <c r="L3" s="185"/>
    </row>
    <row r="4" spans="2:15" ht="12.75" customHeight="1" thickBot="1" x14ac:dyDescent="0.25"/>
    <row r="5" spans="2:15" ht="40.5" customHeight="1" thickBot="1" x14ac:dyDescent="0.25">
      <c r="B5" s="186"/>
      <c r="C5" s="487" t="s">
        <v>128</v>
      </c>
      <c r="D5" s="187" t="s">
        <v>3</v>
      </c>
      <c r="E5" s="188" t="s">
        <v>2</v>
      </c>
      <c r="F5" s="214" t="s">
        <v>16</v>
      </c>
      <c r="G5" s="428" t="s">
        <v>143</v>
      </c>
      <c r="H5" s="399"/>
      <c r="I5" s="181"/>
    </row>
    <row r="6" spans="2:15" ht="16.5" customHeight="1" x14ac:dyDescent="0.25">
      <c r="B6" s="252" t="s">
        <v>129</v>
      </c>
      <c r="C6" s="248" t="s">
        <v>0</v>
      </c>
      <c r="D6" s="636">
        <f>D21</f>
        <v>121200</v>
      </c>
      <c r="E6" s="189">
        <f>D6/12</f>
        <v>10100</v>
      </c>
      <c r="F6" s="190">
        <f>'Площади помещений'!H19</f>
        <v>16704.400000000001</v>
      </c>
      <c r="G6" s="429">
        <f>E6/F6</f>
        <v>0.60463111515528833</v>
      </c>
      <c r="H6" s="400"/>
      <c r="I6" s="191"/>
      <c r="M6" s="192"/>
    </row>
    <row r="7" spans="2:15" ht="16.5" customHeight="1" x14ac:dyDescent="0.25">
      <c r="B7" s="255" t="s">
        <v>130</v>
      </c>
      <c r="C7" s="249" t="s">
        <v>49</v>
      </c>
      <c r="D7" s="637">
        <f>D34</f>
        <v>221800</v>
      </c>
      <c r="E7" s="193">
        <f>D7/12</f>
        <v>18483.333333333332</v>
      </c>
      <c r="F7" s="190">
        <f>F6</f>
        <v>16704.400000000001</v>
      </c>
      <c r="G7" s="429">
        <f>E7/F7</f>
        <v>1.10649489555646</v>
      </c>
      <c r="H7" s="422"/>
      <c r="I7" s="285"/>
      <c r="J7" s="285"/>
      <c r="K7" s="285"/>
      <c r="L7" s="285"/>
      <c r="M7" s="285"/>
      <c r="N7" s="285"/>
      <c r="O7" s="285"/>
    </row>
    <row r="8" spans="2:15" ht="16.5" customHeight="1" x14ac:dyDescent="0.25">
      <c r="B8" s="253" t="s">
        <v>131</v>
      </c>
      <c r="C8" s="250" t="s">
        <v>9</v>
      </c>
      <c r="D8" s="637">
        <f>I25</f>
        <v>530517.24137931038</v>
      </c>
      <c r="E8" s="193">
        <f>D8/12</f>
        <v>44209.770114942534</v>
      </c>
      <c r="F8" s="190">
        <f>F7</f>
        <v>16704.400000000001</v>
      </c>
      <c r="G8" s="429">
        <f>E8/F8</f>
        <v>2.6465943173620441</v>
      </c>
      <c r="H8" s="400"/>
      <c r="I8" s="191"/>
    </row>
    <row r="9" spans="2:15" ht="16.5" customHeight="1" thickBot="1" x14ac:dyDescent="0.3">
      <c r="B9" s="254" t="s">
        <v>132</v>
      </c>
      <c r="C9" s="251" t="s">
        <v>101</v>
      </c>
      <c r="D9" s="638">
        <f>I34</f>
        <v>34000</v>
      </c>
      <c r="E9" s="194">
        <f>D9/12</f>
        <v>2833.3333333333335</v>
      </c>
      <c r="F9" s="256">
        <f>F8</f>
        <v>16704.400000000001</v>
      </c>
      <c r="G9" s="507">
        <f>E9/F9</f>
        <v>0.16961598939999839</v>
      </c>
      <c r="H9" s="400"/>
      <c r="I9" s="191"/>
    </row>
    <row r="10" spans="2:15" ht="16.5" customHeight="1" thickBot="1" x14ac:dyDescent="0.25">
      <c r="B10" s="213"/>
      <c r="C10" s="430" t="s">
        <v>4</v>
      </c>
      <c r="D10" s="505">
        <f>SUM(D6:D9)</f>
        <v>907517.24137931038</v>
      </c>
      <c r="E10" s="506">
        <f>SUM(E6:E9)</f>
        <v>75626.436781609198</v>
      </c>
      <c r="F10" s="431"/>
      <c r="G10" s="508">
        <f>SUM(G6:G9)</f>
        <v>4.5273363174737913</v>
      </c>
      <c r="H10" s="353"/>
      <c r="I10" s="191"/>
    </row>
    <row r="11" spans="2:15" ht="16.5" customHeight="1" x14ac:dyDescent="0.2">
      <c r="B11" s="351"/>
      <c r="C11" s="424"/>
      <c r="D11" s="425"/>
      <c r="E11" s="426"/>
      <c r="F11" s="425"/>
      <c r="G11" s="427"/>
      <c r="H11" s="423"/>
      <c r="I11" s="191"/>
    </row>
    <row r="12" spans="2:15" ht="16.5" customHeight="1" x14ac:dyDescent="0.2">
      <c r="B12" s="351"/>
      <c r="C12" s="352"/>
      <c r="D12" s="354"/>
      <c r="E12" s="355"/>
      <c r="F12" s="354"/>
      <c r="G12" s="356"/>
      <c r="H12" s="353"/>
      <c r="I12" s="191"/>
    </row>
    <row r="13" spans="2:15" x14ac:dyDescent="0.2">
      <c r="D13" s="195"/>
      <c r="E13" s="196"/>
      <c r="J13" s="195"/>
      <c r="K13" s="195"/>
    </row>
    <row r="14" spans="2:15" ht="18.75" x14ac:dyDescent="0.3">
      <c r="B14" s="716" t="s">
        <v>21</v>
      </c>
      <c r="C14" s="717"/>
      <c r="D14" s="717"/>
      <c r="E14" s="717"/>
      <c r="F14" s="717"/>
      <c r="G14" s="717"/>
      <c r="H14" s="717"/>
      <c r="I14" s="718"/>
      <c r="J14" s="245"/>
      <c r="K14" s="245"/>
      <c r="L14" s="245"/>
    </row>
    <row r="15" spans="2:15" ht="13.15" customHeight="1" thickBot="1" x14ac:dyDescent="0.25">
      <c r="B15" s="197"/>
      <c r="C15" s="195"/>
      <c r="D15" s="195"/>
      <c r="E15" s="195"/>
      <c r="F15" s="195"/>
      <c r="G15" s="195"/>
      <c r="H15" s="195"/>
      <c r="I15" s="420"/>
      <c r="J15" s="245"/>
      <c r="K15" s="245"/>
      <c r="L15" s="245"/>
    </row>
    <row r="16" spans="2:15" s="202" customFormat="1" ht="20.25" customHeight="1" thickBot="1" x14ac:dyDescent="0.25">
      <c r="B16" s="201"/>
      <c r="C16" s="349" t="s">
        <v>229</v>
      </c>
      <c r="D16" s="490" t="s">
        <v>10</v>
      </c>
      <c r="E16" s="204"/>
      <c r="F16" s="243"/>
      <c r="G16" s="721" t="s">
        <v>231</v>
      </c>
      <c r="H16" s="722"/>
      <c r="I16" s="495" t="s">
        <v>10</v>
      </c>
      <c r="J16" s="243"/>
      <c r="K16" s="245"/>
      <c r="L16" s="282"/>
    </row>
    <row r="17" spans="2:12" s="202" customFormat="1" ht="18.75" customHeight="1" x14ac:dyDescent="0.2">
      <c r="B17" s="201"/>
      <c r="C17" s="488" t="s">
        <v>1</v>
      </c>
      <c r="D17" s="489">
        <f>30000+2000+3200+7500</f>
        <v>42700</v>
      </c>
      <c r="E17" s="195"/>
      <c r="F17" s="243"/>
      <c r="G17" s="723" t="s">
        <v>175</v>
      </c>
      <c r="H17" s="724"/>
      <c r="I17" s="494">
        <v>14000</v>
      </c>
      <c r="J17" s="394"/>
      <c r="K17" s="245"/>
      <c r="L17" s="282"/>
    </row>
    <row r="18" spans="2:12" s="202" customFormat="1" ht="18.75" customHeight="1" x14ac:dyDescent="0.2">
      <c r="B18" s="201"/>
      <c r="C18" s="296" t="s">
        <v>172</v>
      </c>
      <c r="D18" s="398">
        <v>8500</v>
      </c>
      <c r="E18" s="195"/>
      <c r="F18" s="243"/>
      <c r="G18" s="725" t="s">
        <v>139</v>
      </c>
      <c r="H18" s="726"/>
      <c r="I18" s="265">
        <v>33000</v>
      </c>
      <c r="J18" s="394"/>
      <c r="K18" s="245"/>
      <c r="L18" s="282"/>
    </row>
    <row r="19" spans="2:12" s="202" customFormat="1" ht="18.75" customHeight="1" x14ac:dyDescent="0.2">
      <c r="B19" s="201"/>
      <c r="C19" s="296" t="s">
        <v>173</v>
      </c>
      <c r="D19" s="398">
        <v>5000</v>
      </c>
      <c r="E19" s="195"/>
      <c r="F19" s="243"/>
      <c r="G19" s="725" t="s">
        <v>141</v>
      </c>
      <c r="H19" s="726"/>
      <c r="I19" s="286">
        <v>20000</v>
      </c>
      <c r="J19" s="394"/>
      <c r="K19" s="245"/>
      <c r="L19" s="282"/>
    </row>
    <row r="20" spans="2:12" s="203" customFormat="1" ht="22.5" customHeight="1" thickBot="1" x14ac:dyDescent="0.25">
      <c r="B20" s="201"/>
      <c r="C20" s="491" t="s">
        <v>100</v>
      </c>
      <c r="D20" s="492">
        <v>65000</v>
      </c>
      <c r="E20" s="195"/>
      <c r="F20" s="204"/>
      <c r="G20" s="725" t="s">
        <v>84</v>
      </c>
      <c r="H20" s="726"/>
      <c r="I20" s="286">
        <v>21000</v>
      </c>
      <c r="J20" s="394"/>
      <c r="K20" s="245"/>
      <c r="L20" s="282"/>
    </row>
    <row r="21" spans="2:12" s="202" customFormat="1" ht="39" customHeight="1" thickBot="1" x14ac:dyDescent="0.25">
      <c r="B21" s="201"/>
      <c r="C21" s="362" t="s">
        <v>187</v>
      </c>
      <c r="D21" s="493">
        <f>SUM(D17:D20)</f>
        <v>121200</v>
      </c>
      <c r="E21" s="195"/>
      <c r="F21" s="204"/>
      <c r="G21" s="725" t="s">
        <v>144</v>
      </c>
      <c r="H21" s="726"/>
      <c r="I21" s="286">
        <v>25000</v>
      </c>
      <c r="J21" s="394"/>
      <c r="K21" s="245"/>
      <c r="L21" s="282"/>
    </row>
    <row r="22" spans="2:12" s="202" customFormat="1" ht="23.25" customHeight="1" x14ac:dyDescent="0.2">
      <c r="B22" s="201"/>
      <c r="C22" s="195"/>
      <c r="D22" s="195"/>
      <c r="E22" s="204"/>
      <c r="F22" s="266"/>
      <c r="G22" s="731" t="s">
        <v>8</v>
      </c>
      <c r="H22" s="732"/>
      <c r="I22" s="286">
        <v>100000</v>
      </c>
      <c r="J22" s="394"/>
      <c r="K22" s="283"/>
      <c r="L22" s="282"/>
    </row>
    <row r="23" spans="2:12" ht="24.75" customHeight="1" thickBot="1" x14ac:dyDescent="0.25">
      <c r="B23" s="197"/>
      <c r="C23" s="195"/>
      <c r="D23" s="195"/>
      <c r="E23" s="195"/>
      <c r="F23" s="204"/>
      <c r="G23" s="714" t="s">
        <v>278</v>
      </c>
      <c r="H23" s="715"/>
      <c r="I23" s="286">
        <f>(10000+(10000/87*13))*12</f>
        <v>137931.03448275861</v>
      </c>
      <c r="J23" s="394"/>
      <c r="K23" s="245"/>
      <c r="L23" s="245"/>
    </row>
    <row r="24" spans="2:12" ht="27.75" customHeight="1" thickBot="1" x14ac:dyDescent="0.25">
      <c r="B24" s="197"/>
      <c r="C24" s="350" t="s">
        <v>230</v>
      </c>
      <c r="D24" s="498" t="s">
        <v>17</v>
      </c>
      <c r="E24" s="243"/>
      <c r="F24" s="243"/>
      <c r="G24" s="733" t="s">
        <v>279</v>
      </c>
      <c r="H24" s="734"/>
      <c r="I24" s="496">
        <f>((10000+(10000/87*13))+(10000+(10000/87*13))*0.302)*12</f>
        <v>179586.20689655174</v>
      </c>
      <c r="J24" s="394"/>
      <c r="K24" s="283"/>
      <c r="L24" s="245"/>
    </row>
    <row r="25" spans="2:12" ht="18.75" customHeight="1" thickBot="1" x14ac:dyDescent="0.25">
      <c r="B25" s="197"/>
      <c r="C25" s="384" t="s">
        <v>276</v>
      </c>
      <c r="D25" s="502">
        <v>10000</v>
      </c>
      <c r="E25" s="394"/>
      <c r="F25" s="244"/>
      <c r="G25" s="727" t="s">
        <v>188</v>
      </c>
      <c r="H25" s="728"/>
      <c r="I25" s="497">
        <f>SUM(I17:I24)</f>
        <v>530517.24137931038</v>
      </c>
      <c r="J25" s="267"/>
      <c r="K25" s="245"/>
      <c r="L25" s="245"/>
    </row>
    <row r="26" spans="2:12" ht="20.25" customHeight="1" x14ac:dyDescent="0.2">
      <c r="B26" s="197"/>
      <c r="C26" s="385" t="s">
        <v>277</v>
      </c>
      <c r="D26" s="503">
        <v>82000</v>
      </c>
      <c r="E26" s="394"/>
      <c r="F26" s="243"/>
      <c r="G26" s="729"/>
      <c r="H26" s="729"/>
      <c r="I26" s="697"/>
      <c r="J26" s="267"/>
      <c r="K26" s="245"/>
      <c r="L26" s="245"/>
    </row>
    <row r="27" spans="2:12" ht="20.25" customHeight="1" x14ac:dyDescent="0.2">
      <c r="B27" s="197"/>
      <c r="C27" s="385" t="s">
        <v>222</v>
      </c>
      <c r="D27" s="503">
        <f>14000+1000</f>
        <v>15000</v>
      </c>
      <c r="E27" s="394"/>
      <c r="F27" s="245"/>
      <c r="G27" s="730"/>
      <c r="H27" s="730"/>
      <c r="I27" s="635"/>
      <c r="J27" s="267"/>
      <c r="K27" s="245"/>
      <c r="L27" s="245"/>
    </row>
    <row r="28" spans="2:12" ht="27" customHeight="1" thickBot="1" x14ac:dyDescent="0.25">
      <c r="B28" s="197"/>
      <c r="C28" s="386" t="s">
        <v>20</v>
      </c>
      <c r="D28" s="265">
        <f>30000+2000</f>
        <v>32000</v>
      </c>
      <c r="E28" s="394"/>
      <c r="F28" s="245"/>
      <c r="G28" s="245"/>
      <c r="H28" s="245"/>
      <c r="I28" s="698"/>
      <c r="J28" s="393"/>
      <c r="K28" s="245"/>
    </row>
    <row r="29" spans="2:12" ht="20.25" customHeight="1" thickBot="1" x14ac:dyDescent="0.25">
      <c r="B29" s="197"/>
      <c r="C29" s="386" t="s">
        <v>122</v>
      </c>
      <c r="D29" s="265">
        <v>22000</v>
      </c>
      <c r="E29" s="394"/>
      <c r="F29" s="245"/>
      <c r="G29" s="719" t="s">
        <v>133</v>
      </c>
      <c r="H29" s="720"/>
      <c r="I29" s="478" t="s">
        <v>30</v>
      </c>
      <c r="J29" s="243"/>
      <c r="K29" s="245"/>
    </row>
    <row r="30" spans="2:12" s="199" customFormat="1" ht="20.25" customHeight="1" x14ac:dyDescent="0.2">
      <c r="B30" s="198"/>
      <c r="C30" s="386" t="s">
        <v>123</v>
      </c>
      <c r="D30" s="265">
        <v>15000</v>
      </c>
      <c r="E30" s="394"/>
      <c r="F30" s="246"/>
      <c r="G30" s="738" t="s">
        <v>140</v>
      </c>
      <c r="H30" s="739"/>
      <c r="I30" s="479">
        <v>8000</v>
      </c>
      <c r="J30" s="200"/>
      <c r="K30" s="200"/>
    </row>
    <row r="31" spans="2:12" s="207" customFormat="1" ht="24.75" customHeight="1" x14ac:dyDescent="0.2">
      <c r="B31" s="205"/>
      <c r="C31" s="386" t="s">
        <v>99</v>
      </c>
      <c r="D31" s="265">
        <v>28800</v>
      </c>
      <c r="E31" s="394"/>
      <c r="F31" s="268"/>
      <c r="G31" s="740" t="s">
        <v>82</v>
      </c>
      <c r="H31" s="741"/>
      <c r="I31" s="480">
        <v>12000</v>
      </c>
      <c r="J31" s="206"/>
      <c r="K31" s="206"/>
    </row>
    <row r="32" spans="2:12" s="207" customFormat="1" ht="28.5" customHeight="1" x14ac:dyDescent="0.2">
      <c r="B32" s="205"/>
      <c r="C32" s="386" t="s">
        <v>102</v>
      </c>
      <c r="D32" s="265">
        <v>17000</v>
      </c>
      <c r="E32" s="394"/>
      <c r="F32" s="268"/>
      <c r="G32" s="740" t="s">
        <v>83</v>
      </c>
      <c r="H32" s="741"/>
      <c r="I32" s="481">
        <v>5000</v>
      </c>
      <c r="J32" s="267"/>
      <c r="K32" s="284"/>
    </row>
    <row r="33" spans="2:12" s="207" customFormat="1" ht="20.25" customHeight="1" thickBot="1" x14ac:dyDescent="0.25">
      <c r="B33" s="205"/>
      <c r="C33" s="499"/>
      <c r="D33" s="504"/>
      <c r="E33" s="394"/>
      <c r="F33" s="395"/>
      <c r="G33" s="742" t="s">
        <v>35</v>
      </c>
      <c r="H33" s="743"/>
      <c r="I33" s="480">
        <v>9000</v>
      </c>
      <c r="J33" s="284"/>
      <c r="K33" s="206"/>
    </row>
    <row r="34" spans="2:12" s="207" customFormat="1" ht="20.25" customHeight="1" thickBot="1" x14ac:dyDescent="0.25">
      <c r="B34" s="205"/>
      <c r="C34" s="500" t="s">
        <v>187</v>
      </c>
      <c r="D34" s="501">
        <f>SUM(D25:D33)</f>
        <v>221800</v>
      </c>
      <c r="E34" s="396"/>
      <c r="F34" s="247"/>
      <c r="G34" s="735" t="s">
        <v>187</v>
      </c>
      <c r="H34" s="736"/>
      <c r="I34" s="482">
        <f>SUM(I30:I33)</f>
        <v>34000</v>
      </c>
      <c r="J34" s="206"/>
      <c r="K34" s="206"/>
    </row>
    <row r="35" spans="2:12" s="206" customFormat="1" ht="21.75" customHeight="1" x14ac:dyDescent="0.2">
      <c r="B35" s="205"/>
      <c r="E35" s="397"/>
      <c r="G35" s="737"/>
      <c r="H35" s="737"/>
      <c r="I35" s="421"/>
      <c r="J35" s="267"/>
    </row>
    <row r="36" spans="2:12" ht="12.75" customHeight="1" x14ac:dyDescent="0.2">
      <c r="B36" s="208"/>
      <c r="C36" s="269"/>
      <c r="D36" s="270"/>
      <c r="E36" s="271"/>
      <c r="F36" s="209"/>
      <c r="G36" s="209"/>
      <c r="H36" s="209"/>
      <c r="I36" s="210"/>
      <c r="J36" s="195"/>
      <c r="K36" s="195"/>
      <c r="L36" s="195"/>
    </row>
    <row r="37" spans="2:12" ht="12.75" customHeight="1" thickBot="1" x14ac:dyDescent="0.25">
      <c r="B37" s="211"/>
      <c r="C37" s="272"/>
      <c r="D37" s="273"/>
      <c r="E37" s="274"/>
      <c r="K37" s="195"/>
      <c r="L37" s="195"/>
    </row>
    <row r="38" spans="2:12" s="202" customFormat="1" ht="30.75" customHeight="1" thickBot="1" x14ac:dyDescent="0.25">
      <c r="B38" s="215"/>
      <c r="C38" s="275" t="s">
        <v>134</v>
      </c>
      <c r="D38" s="276" t="s">
        <v>3</v>
      </c>
      <c r="E38" s="277" t="s">
        <v>142</v>
      </c>
      <c r="F38" s="278" t="s">
        <v>75</v>
      </c>
      <c r="G38" s="401" t="s">
        <v>143</v>
      </c>
      <c r="H38" s="204"/>
      <c r="I38" s="182"/>
      <c r="J38" s="182"/>
      <c r="K38" s="195"/>
      <c r="L38" s="195"/>
    </row>
    <row r="39" spans="2:12" ht="38.25" x14ac:dyDescent="0.2">
      <c r="B39" s="215"/>
      <c r="C39" s="402" t="s">
        <v>242</v>
      </c>
      <c r="D39" s="279">
        <f>2500*5</f>
        <v>12500</v>
      </c>
      <c r="E39" s="280">
        <f>D39/12</f>
        <v>1041.6666666666667</v>
      </c>
      <c r="F39" s="280">
        <f>'Площади помещений'!G19</f>
        <v>3175.6</v>
      </c>
      <c r="G39" s="403">
        <f>E39/F39</f>
        <v>0.32802200109165724</v>
      </c>
      <c r="H39" s="399"/>
      <c r="L39" s="202"/>
    </row>
    <row r="40" spans="2:12" x14ac:dyDescent="0.2">
      <c r="B40" s="215"/>
      <c r="C40" s="404" t="s">
        <v>241</v>
      </c>
      <c r="D40" s="387">
        <v>3800</v>
      </c>
      <c r="E40" s="388">
        <v>316.67</v>
      </c>
      <c r="F40" s="389">
        <v>3175.6</v>
      </c>
      <c r="G40" s="403">
        <f>E40/F40</f>
        <v>9.97197380022673E-2</v>
      </c>
      <c r="H40" s="399"/>
      <c r="L40" s="202"/>
    </row>
    <row r="41" spans="2:12" ht="15.75" thickBot="1" x14ac:dyDescent="0.3">
      <c r="B41" s="215"/>
      <c r="C41" s="405" t="s">
        <v>4</v>
      </c>
      <c r="D41" s="406">
        <v>16300</v>
      </c>
      <c r="E41" s="407">
        <v>1358.34</v>
      </c>
      <c r="F41" s="408"/>
      <c r="G41" s="409">
        <f>SUM(G39:G40)</f>
        <v>0.42774173909392454</v>
      </c>
      <c r="H41" s="400"/>
    </row>
    <row r="42" spans="2:12" x14ac:dyDescent="0.2">
      <c r="B42" s="212"/>
      <c r="C42" s="195"/>
      <c r="D42" s="509"/>
      <c r="E42" s="432"/>
      <c r="F42" s="432"/>
      <c r="G42" s="433"/>
      <c r="H42" s="195"/>
    </row>
    <row r="43" spans="2:12" x14ac:dyDescent="0.2">
      <c r="B43" s="195"/>
      <c r="C43" s="195"/>
      <c r="D43" s="434"/>
      <c r="E43" s="195"/>
      <c r="F43" s="195"/>
      <c r="G43" s="195"/>
    </row>
    <row r="44" spans="2:12" x14ac:dyDescent="0.2">
      <c r="B44" s="195"/>
      <c r="C44" s="195"/>
      <c r="D44" s="195"/>
      <c r="E44" s="195"/>
      <c r="F44" s="195"/>
      <c r="G44" s="195"/>
    </row>
    <row r="45" spans="2:12" ht="13.9" customHeight="1" x14ac:dyDescent="0.2"/>
    <row r="50" ht="13.9" customHeight="1" x14ac:dyDescent="0.2"/>
    <row r="51" ht="13.15" customHeight="1" x14ac:dyDescent="0.2"/>
    <row r="52" ht="13.15" customHeight="1" x14ac:dyDescent="0.2"/>
    <row r="53" ht="13.15" customHeight="1" x14ac:dyDescent="0.2"/>
    <row r="54" ht="13.15" customHeight="1" x14ac:dyDescent="0.2"/>
    <row r="55" ht="13.15" customHeight="1" x14ac:dyDescent="0.2"/>
    <row r="56" ht="13.15" customHeight="1" x14ac:dyDescent="0.2"/>
    <row r="60" ht="13.9" customHeight="1" x14ac:dyDescent="0.2"/>
    <row r="82" ht="15.75" customHeight="1" x14ac:dyDescent="0.2"/>
  </sheetData>
  <mergeCells count="20">
    <mergeCell ref="G34:H34"/>
    <mergeCell ref="G35:H35"/>
    <mergeCell ref="G30:H30"/>
    <mergeCell ref="G31:H31"/>
    <mergeCell ref="G32:H32"/>
    <mergeCell ref="G33:H33"/>
    <mergeCell ref="G23:H23"/>
    <mergeCell ref="B14:I14"/>
    <mergeCell ref="G29:H29"/>
    <mergeCell ref="G16:H16"/>
    <mergeCell ref="G17:H17"/>
    <mergeCell ref="G20:H20"/>
    <mergeCell ref="G25:H25"/>
    <mergeCell ref="G26:H26"/>
    <mergeCell ref="G27:H27"/>
    <mergeCell ref="G21:H21"/>
    <mergeCell ref="G22:H22"/>
    <mergeCell ref="G24:H24"/>
    <mergeCell ref="G18:H18"/>
    <mergeCell ref="G19:H19"/>
  </mergeCells>
  <phoneticPr fontId="10" type="noConversion"/>
  <pageMargins left="0.21" right="0.19685039370078741" top="0.48" bottom="0.15748031496062992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L51"/>
  <sheetViews>
    <sheetView zoomScale="88" zoomScaleNormal="88" workbookViewId="0">
      <selection activeCell="J16" sqref="J16"/>
    </sheetView>
  </sheetViews>
  <sheetFormatPr defaultRowHeight="12.75" x14ac:dyDescent="0.2"/>
  <cols>
    <col min="1" max="1" width="2.140625" customWidth="1"/>
    <col min="2" max="2" width="4.28515625" customWidth="1"/>
    <col min="3" max="3" width="57.28515625" customWidth="1"/>
    <col min="4" max="4" width="10" customWidth="1"/>
    <col min="5" max="5" width="12.42578125" customWidth="1"/>
    <col min="6" max="6" width="11" customWidth="1"/>
    <col min="7" max="7" width="11.5703125" customWidth="1"/>
  </cols>
  <sheetData>
    <row r="1" spans="1:12" ht="15" x14ac:dyDescent="0.25">
      <c r="B1" s="64" t="s">
        <v>189</v>
      </c>
      <c r="E1" s="68" t="s">
        <v>118</v>
      </c>
      <c r="F1" s="66"/>
      <c r="H1" s="68"/>
    </row>
    <row r="2" spans="1:12" ht="15.75" x14ac:dyDescent="0.25">
      <c r="B2" s="64" t="s">
        <v>67</v>
      </c>
      <c r="C2" s="14"/>
      <c r="D2" s="14"/>
      <c r="E2" s="68" t="s">
        <v>226</v>
      </c>
      <c r="F2" s="74"/>
      <c r="H2" s="68"/>
    </row>
    <row r="3" spans="1:12" ht="16.899999999999999" customHeight="1" thickBot="1" x14ac:dyDescent="0.25"/>
    <row r="4" spans="1:12" s="149" customFormat="1" ht="31.9" customHeight="1" thickBot="1" x14ac:dyDescent="0.25">
      <c r="B4" s="746" t="s">
        <v>107</v>
      </c>
      <c r="C4" s="747"/>
      <c r="D4" s="748"/>
      <c r="E4" s="173" t="s">
        <v>3</v>
      </c>
      <c r="F4" s="174" t="s">
        <v>2</v>
      </c>
      <c r="G4" s="175" t="s">
        <v>16</v>
      </c>
      <c r="H4" s="448" t="s">
        <v>18</v>
      </c>
      <c r="I4" s="370"/>
      <c r="J4" s="370"/>
      <c r="K4" s="370"/>
      <c r="L4" s="370"/>
    </row>
    <row r="5" spans="1:12" ht="27" customHeight="1" x14ac:dyDescent="0.2">
      <c r="B5" s="177">
        <v>1</v>
      </c>
      <c r="C5" s="763" t="s">
        <v>79</v>
      </c>
      <c r="D5" s="764"/>
      <c r="E5" s="530">
        <f>F17</f>
        <v>94500</v>
      </c>
      <c r="F5" s="166">
        <f>E5/12</f>
        <v>7875</v>
      </c>
      <c r="G5" s="167">
        <f>'Площади помещений'!H19-'Площади помещений'!H12</f>
        <v>13803.2</v>
      </c>
      <c r="H5" s="449">
        <f>F5/G5</f>
        <v>0.57051987944824389</v>
      </c>
      <c r="I5" s="447"/>
      <c r="J5" s="334"/>
      <c r="K5" s="334"/>
    </row>
    <row r="6" spans="1:12" ht="27" customHeight="1" thickBot="1" x14ac:dyDescent="0.25">
      <c r="B6" s="178">
        <v>2</v>
      </c>
      <c r="C6" s="758" t="s">
        <v>59</v>
      </c>
      <c r="D6" s="759"/>
      <c r="E6" s="531">
        <v>6000</v>
      </c>
      <c r="F6" s="157">
        <f>E6/12</f>
        <v>500</v>
      </c>
      <c r="G6" s="158">
        <f>'Площади помещений'!H12</f>
        <v>2901.2000000000003</v>
      </c>
      <c r="H6" s="450">
        <f>F6/G6</f>
        <v>0.17234247897421756</v>
      </c>
      <c r="I6" s="334"/>
      <c r="J6" s="334"/>
    </row>
    <row r="7" spans="1:12" ht="15.6" customHeight="1" thickBot="1" x14ac:dyDescent="0.25">
      <c r="B7" s="749" t="s">
        <v>187</v>
      </c>
      <c r="C7" s="750"/>
      <c r="D7" s="751"/>
      <c r="E7" s="532">
        <f>SUM(E5:E6)</f>
        <v>100500</v>
      </c>
      <c r="F7" s="319">
        <f>SUM(F5:F6)</f>
        <v>8375</v>
      </c>
      <c r="G7" s="320"/>
      <c r="H7" s="451">
        <f>SUM(H5:H6)</f>
        <v>0.7428623584224614</v>
      </c>
      <c r="I7" s="334"/>
      <c r="J7" s="334"/>
    </row>
    <row r="8" spans="1:12" ht="12" customHeight="1" x14ac:dyDescent="0.2">
      <c r="B8" s="42"/>
      <c r="C8" s="43"/>
      <c r="D8" s="43"/>
      <c r="E8" s="73"/>
      <c r="F8" s="44"/>
      <c r="G8" s="45"/>
      <c r="H8" s="46"/>
      <c r="I8" s="447"/>
      <c r="J8" s="334"/>
    </row>
    <row r="9" spans="1:12" ht="13.5" thickBot="1" x14ac:dyDescent="0.25">
      <c r="I9" s="334"/>
      <c r="J9" s="334"/>
    </row>
    <row r="10" spans="1:12" s="149" customFormat="1" ht="15.6" customHeight="1" thickBot="1" x14ac:dyDescent="0.25">
      <c r="B10" s="760" t="s">
        <v>108</v>
      </c>
      <c r="C10" s="761"/>
      <c r="D10" s="761"/>
      <c r="E10" s="761"/>
      <c r="F10" s="762"/>
      <c r="G10" s="370"/>
      <c r="H10" s="370"/>
      <c r="I10" s="370"/>
    </row>
    <row r="11" spans="1:12" s="149" customFormat="1" ht="26.25" thickBot="1" x14ac:dyDescent="0.25">
      <c r="B11" s="517" t="s">
        <v>22</v>
      </c>
      <c r="C11" s="518" t="s">
        <v>23</v>
      </c>
      <c r="D11" s="173" t="s">
        <v>24</v>
      </c>
      <c r="E11" s="172" t="s">
        <v>92</v>
      </c>
      <c r="F11" s="448" t="s">
        <v>25</v>
      </c>
      <c r="G11" s="370"/>
      <c r="H11" s="370"/>
      <c r="I11" s="370"/>
    </row>
    <row r="12" spans="1:12" s="161" customFormat="1" ht="23.25" customHeight="1" x14ac:dyDescent="0.2">
      <c r="B12" s="521">
        <v>1</v>
      </c>
      <c r="C12" s="522" t="s">
        <v>255</v>
      </c>
      <c r="D12" s="519">
        <v>2</v>
      </c>
      <c r="E12" s="264">
        <v>3000</v>
      </c>
      <c r="F12" s="516">
        <f>E12*D12</f>
        <v>6000</v>
      </c>
      <c r="G12" s="438"/>
      <c r="H12" s="371"/>
      <c r="I12" s="371"/>
    </row>
    <row r="13" spans="1:12" s="161" customFormat="1" ht="23.25" customHeight="1" x14ac:dyDescent="0.2">
      <c r="B13" s="444">
        <v>2</v>
      </c>
      <c r="C13" s="523" t="s">
        <v>174</v>
      </c>
      <c r="D13" s="520">
        <v>60</v>
      </c>
      <c r="E13" s="264">
        <v>600</v>
      </c>
      <c r="F13" s="445">
        <f t="shared" ref="F13" si="0">E13*D13</f>
        <v>36000</v>
      </c>
      <c r="G13" s="438"/>
      <c r="H13" s="371"/>
      <c r="I13" s="371"/>
    </row>
    <row r="14" spans="1:12" s="161" customFormat="1" ht="23.25" customHeight="1" x14ac:dyDescent="0.2">
      <c r="A14" s="169"/>
      <c r="B14" s="444">
        <v>3</v>
      </c>
      <c r="C14" s="523" t="s">
        <v>98</v>
      </c>
      <c r="D14" s="520"/>
      <c r="E14" s="264"/>
      <c r="F14" s="445">
        <v>30000</v>
      </c>
      <c r="G14" s="438"/>
      <c r="H14" s="439"/>
      <c r="I14" s="371"/>
    </row>
    <row r="15" spans="1:12" s="161" customFormat="1" ht="23.25" customHeight="1" x14ac:dyDescent="0.2">
      <c r="B15" s="444">
        <v>4</v>
      </c>
      <c r="C15" s="524" t="s">
        <v>138</v>
      </c>
      <c r="D15" s="520"/>
      <c r="E15" s="264"/>
      <c r="F15" s="445">
        <v>15000</v>
      </c>
      <c r="G15" s="440"/>
      <c r="H15" s="371"/>
      <c r="I15" s="371"/>
    </row>
    <row r="16" spans="1:12" s="161" customFormat="1" ht="23.25" customHeight="1" thickBot="1" x14ac:dyDescent="0.25">
      <c r="B16" s="525">
        <v>5</v>
      </c>
      <c r="C16" s="526" t="s">
        <v>105</v>
      </c>
      <c r="D16" s="520">
        <v>1</v>
      </c>
      <c r="E16" s="264">
        <v>7500</v>
      </c>
      <c r="F16" s="445">
        <f>E16*D16</f>
        <v>7500</v>
      </c>
      <c r="G16" s="441"/>
      <c r="H16" s="371"/>
      <c r="I16" s="371"/>
      <c r="J16" s="371"/>
    </row>
    <row r="17" spans="2:11" s="161" customFormat="1" ht="23.25" customHeight="1" thickBot="1" x14ac:dyDescent="0.25">
      <c r="B17" s="752" t="s">
        <v>187</v>
      </c>
      <c r="C17" s="753"/>
      <c r="D17" s="321"/>
      <c r="E17" s="322"/>
      <c r="F17" s="446">
        <f>SUM(F12:F16)</f>
        <v>94500</v>
      </c>
      <c r="G17" s="442"/>
      <c r="H17" s="443"/>
      <c r="I17" s="371"/>
    </row>
    <row r="18" spans="2:11" x14ac:dyDescent="0.2">
      <c r="B18" s="134"/>
      <c r="C18" s="134"/>
      <c r="D18" s="134"/>
      <c r="E18" s="134"/>
      <c r="F18" s="134"/>
    </row>
    <row r="19" spans="2:11" ht="13.5" thickBot="1" x14ac:dyDescent="0.25">
      <c r="B19" s="134"/>
      <c r="C19" s="134"/>
      <c r="D19" s="134"/>
      <c r="E19" s="134"/>
      <c r="F19" s="134"/>
    </row>
    <row r="20" spans="2:11" s="294" customFormat="1" ht="35.25" customHeight="1" thickBot="1" x14ac:dyDescent="0.25">
      <c r="B20" s="756" t="s">
        <v>109</v>
      </c>
      <c r="C20" s="757"/>
      <c r="D20" s="174" t="s">
        <v>127</v>
      </c>
      <c r="E20" s="172" t="s">
        <v>161</v>
      </c>
      <c r="F20" s="172" t="s">
        <v>93</v>
      </c>
      <c r="G20" s="448" t="s">
        <v>94</v>
      </c>
      <c r="H20" s="452"/>
      <c r="I20" s="281"/>
      <c r="J20" s="281"/>
      <c r="K20" s="281"/>
    </row>
    <row r="21" spans="2:11" s="161" customFormat="1" ht="24" customHeight="1" thickBot="1" x14ac:dyDescent="0.25">
      <c r="B21" s="72">
        <v>1</v>
      </c>
      <c r="C21" s="435" t="s">
        <v>26</v>
      </c>
      <c r="D21" s="436">
        <v>45000</v>
      </c>
      <c r="E21" s="437">
        <f>'Площади помещений'!H19-'Площади помещений'!H12-'Площади помещений'!G19</f>
        <v>10627.6</v>
      </c>
      <c r="F21" s="437">
        <f>D21/E21</f>
        <v>4.2342579698144451</v>
      </c>
      <c r="G21" s="458">
        <f>F21/12</f>
        <v>0.35285483081787045</v>
      </c>
      <c r="H21" s="453"/>
    </row>
    <row r="22" spans="2:11" ht="13.5" thickBot="1" x14ac:dyDescent="0.25">
      <c r="B22" s="754" t="s">
        <v>187</v>
      </c>
      <c r="C22" s="755"/>
      <c r="D22" s="326">
        <f>SUM(D21)</f>
        <v>45000</v>
      </c>
      <c r="E22" s="323"/>
      <c r="F22" s="324"/>
      <c r="G22" s="459">
        <f>SUM(G21:G21)</f>
        <v>0.35285483081787045</v>
      </c>
      <c r="H22" s="334"/>
    </row>
    <row r="23" spans="2:11" ht="13.5" thickBot="1" x14ac:dyDescent="0.25">
      <c r="H23" s="334"/>
    </row>
    <row r="24" spans="2:11" s="4" customFormat="1" ht="36.75" customHeight="1" thickBot="1" x14ac:dyDescent="0.25">
      <c r="B24" s="744" t="s">
        <v>125</v>
      </c>
      <c r="C24" s="745"/>
      <c r="D24" s="176" t="s">
        <v>92</v>
      </c>
      <c r="E24" s="174" t="s">
        <v>106</v>
      </c>
      <c r="F24" s="172" t="s">
        <v>93</v>
      </c>
      <c r="G24" s="448" t="s">
        <v>94</v>
      </c>
      <c r="H24" s="454"/>
    </row>
    <row r="25" spans="2:11" ht="26.25" customHeight="1" x14ac:dyDescent="0.2">
      <c r="B25" s="165">
        <v>1</v>
      </c>
      <c r="C25" s="168" t="s">
        <v>233</v>
      </c>
      <c r="D25" s="533">
        <v>27391.200000000001</v>
      </c>
      <c r="E25" s="257">
        <f>'Площади помещений'!H17</f>
        <v>2020</v>
      </c>
      <c r="F25" s="258">
        <f t="shared" ref="F25:F33" si="1">D25/E25</f>
        <v>13.56</v>
      </c>
      <c r="G25" s="513">
        <f t="shared" ref="G25:G33" si="2">F25/12</f>
        <v>1.1300000000000001</v>
      </c>
      <c r="H25" s="455"/>
    </row>
    <row r="26" spans="2:11" ht="26.25" customHeight="1" x14ac:dyDescent="0.2">
      <c r="B26" s="165">
        <v>2</v>
      </c>
      <c r="C26" s="168" t="s">
        <v>176</v>
      </c>
      <c r="D26" s="533">
        <v>4000</v>
      </c>
      <c r="E26" s="257">
        <v>2541.6</v>
      </c>
      <c r="F26" s="510">
        <f>D26/E26</f>
        <v>1.5738117721120555</v>
      </c>
      <c r="G26" s="461">
        <f>F26/12</f>
        <v>0.13115098100933795</v>
      </c>
      <c r="H26" s="455"/>
    </row>
    <row r="27" spans="2:11" ht="26.25" customHeight="1" x14ac:dyDescent="0.2">
      <c r="B27" s="165">
        <v>3</v>
      </c>
      <c r="C27" s="168" t="s">
        <v>181</v>
      </c>
      <c r="D27" s="533">
        <v>3500</v>
      </c>
      <c r="E27" s="257">
        <v>2901</v>
      </c>
      <c r="F27" s="258">
        <f t="shared" si="1"/>
        <v>1.206480523957256</v>
      </c>
      <c r="G27" s="461">
        <f t="shared" si="2"/>
        <v>0.10054004366310466</v>
      </c>
      <c r="H27" s="455"/>
    </row>
    <row r="28" spans="2:11" ht="26.25" customHeight="1" x14ac:dyDescent="0.2">
      <c r="B28" s="165">
        <v>4</v>
      </c>
      <c r="C28" s="168" t="s">
        <v>235</v>
      </c>
      <c r="D28" s="533">
        <v>3000</v>
      </c>
      <c r="E28" s="257">
        <v>1675.1</v>
      </c>
      <c r="F28" s="258">
        <f t="shared" si="1"/>
        <v>1.7909378544564505</v>
      </c>
      <c r="G28" s="460">
        <f t="shared" si="2"/>
        <v>0.1492448212047042</v>
      </c>
      <c r="H28" s="455"/>
    </row>
    <row r="29" spans="2:11" ht="26.25" customHeight="1" x14ac:dyDescent="0.2">
      <c r="B29" s="165">
        <v>5</v>
      </c>
      <c r="C29" s="168" t="s">
        <v>177</v>
      </c>
      <c r="D29" s="533">
        <v>3000</v>
      </c>
      <c r="E29" s="257">
        <v>1455.1</v>
      </c>
      <c r="F29" s="258">
        <f t="shared" si="1"/>
        <v>2.0617139715483472</v>
      </c>
      <c r="G29" s="460">
        <f t="shared" si="2"/>
        <v>0.17180949762902895</v>
      </c>
      <c r="H29" s="455"/>
    </row>
    <row r="30" spans="2:11" ht="26.25" customHeight="1" x14ac:dyDescent="0.2">
      <c r="B30" s="165">
        <v>6</v>
      </c>
      <c r="C30" s="168" t="s">
        <v>236</v>
      </c>
      <c r="D30" s="533">
        <v>2500</v>
      </c>
      <c r="E30" s="257">
        <v>919.5</v>
      </c>
      <c r="F30" s="258">
        <f t="shared" si="1"/>
        <v>2.7188689505165851</v>
      </c>
      <c r="G30" s="460">
        <f t="shared" si="2"/>
        <v>0.22657241254304875</v>
      </c>
      <c r="H30" s="455"/>
    </row>
    <row r="31" spans="2:11" ht="26.25" customHeight="1" x14ac:dyDescent="0.2">
      <c r="B31" s="165">
        <v>7</v>
      </c>
      <c r="C31" s="168" t="s">
        <v>178</v>
      </c>
      <c r="D31" s="533">
        <v>3000</v>
      </c>
      <c r="E31" s="257">
        <v>1707.1</v>
      </c>
      <c r="F31" s="258">
        <f t="shared" si="1"/>
        <v>1.7573662937144867</v>
      </c>
      <c r="G31" s="460">
        <f t="shared" si="2"/>
        <v>0.14644719114287388</v>
      </c>
      <c r="H31" s="455"/>
    </row>
    <row r="32" spans="2:11" ht="26.25" customHeight="1" x14ac:dyDescent="0.2">
      <c r="B32" s="165">
        <v>8</v>
      </c>
      <c r="C32" s="168" t="s">
        <v>179</v>
      </c>
      <c r="D32" s="533">
        <v>3000</v>
      </c>
      <c r="E32" s="257">
        <v>1515.3</v>
      </c>
      <c r="F32" s="258">
        <f t="shared" si="1"/>
        <v>1.9798059790140567</v>
      </c>
      <c r="G32" s="460">
        <f t="shared" si="2"/>
        <v>0.16498383158450472</v>
      </c>
      <c r="H32" s="455"/>
    </row>
    <row r="33" spans="2:10" ht="26.25" customHeight="1" x14ac:dyDescent="0.2">
      <c r="B33" s="165">
        <v>9</v>
      </c>
      <c r="C33" s="168" t="s">
        <v>180</v>
      </c>
      <c r="D33" s="533">
        <v>2500</v>
      </c>
      <c r="E33" s="257">
        <v>813.9</v>
      </c>
      <c r="F33" s="258">
        <f t="shared" si="1"/>
        <v>3.0716304214276939</v>
      </c>
      <c r="G33" s="460">
        <f t="shared" si="2"/>
        <v>0.25596920178564114</v>
      </c>
      <c r="H33" s="455"/>
      <c r="J33" s="306"/>
    </row>
    <row r="34" spans="2:10" ht="26.25" customHeight="1" x14ac:dyDescent="0.2">
      <c r="B34" s="313"/>
      <c r="C34" s="314" t="s">
        <v>234</v>
      </c>
      <c r="D34" s="534">
        <f>SUM(D25:D33)</f>
        <v>51891.199999999997</v>
      </c>
      <c r="E34" s="315"/>
      <c r="F34" s="316"/>
      <c r="G34" s="462"/>
      <c r="H34" s="447"/>
      <c r="I34" s="149"/>
    </row>
    <row r="35" spans="2:10" ht="20.25" customHeight="1" x14ac:dyDescent="0.2">
      <c r="B35" s="165"/>
      <c r="C35" s="297" t="s">
        <v>183</v>
      </c>
      <c r="D35" s="383"/>
      <c r="E35" s="257"/>
      <c r="F35" s="258"/>
      <c r="G35" s="460"/>
      <c r="H35" s="334"/>
    </row>
    <row r="36" spans="2:10" ht="26.25" customHeight="1" x14ac:dyDescent="0.2">
      <c r="B36" s="165">
        <v>10</v>
      </c>
      <c r="C36" s="168" t="s">
        <v>182</v>
      </c>
      <c r="D36" s="383">
        <v>4000</v>
      </c>
      <c r="E36" s="257">
        <v>553.20000000000005</v>
      </c>
      <c r="F36" s="258">
        <f>D36/E36</f>
        <v>7.230657989877078</v>
      </c>
      <c r="G36" s="460">
        <f t="shared" ref="G36:G42" si="3">F36/12</f>
        <v>0.6025548324897565</v>
      </c>
      <c r="H36" s="456"/>
    </row>
    <row r="37" spans="2:10" s="148" customFormat="1" ht="19.5" customHeight="1" x14ac:dyDescent="0.2">
      <c r="B37" s="165">
        <v>11</v>
      </c>
      <c r="C37" s="168" t="s">
        <v>184</v>
      </c>
      <c r="D37" s="383">
        <v>3000</v>
      </c>
      <c r="E37" s="257">
        <v>505.2</v>
      </c>
      <c r="F37" s="258">
        <f t="shared" ref="F37:F42" si="4">D37/E37</f>
        <v>5.9382422802850359</v>
      </c>
      <c r="G37" s="460">
        <f t="shared" si="3"/>
        <v>0.49485352335708632</v>
      </c>
      <c r="H37" s="457"/>
    </row>
    <row r="38" spans="2:10" s="148" customFormat="1" ht="22.5" customHeight="1" x14ac:dyDescent="0.2">
      <c r="B38" s="165">
        <v>12</v>
      </c>
      <c r="C38" s="168" t="s">
        <v>240</v>
      </c>
      <c r="D38" s="383">
        <v>3000</v>
      </c>
      <c r="E38" s="257">
        <v>507.6</v>
      </c>
      <c r="F38" s="258">
        <f t="shared" si="4"/>
        <v>5.9101654846335698</v>
      </c>
      <c r="G38" s="460">
        <f t="shared" si="3"/>
        <v>0.4925137903861308</v>
      </c>
      <c r="H38" s="457"/>
    </row>
    <row r="39" spans="2:10" ht="22.5" customHeight="1" x14ac:dyDescent="0.2">
      <c r="B39" s="165">
        <v>13</v>
      </c>
      <c r="C39" s="168" t="s">
        <v>185</v>
      </c>
      <c r="D39" s="383">
        <v>2500</v>
      </c>
      <c r="E39" s="257">
        <v>302.8</v>
      </c>
      <c r="F39" s="258">
        <f t="shared" si="4"/>
        <v>8.2562747688243068</v>
      </c>
      <c r="G39" s="460">
        <f t="shared" si="3"/>
        <v>0.6880228974020256</v>
      </c>
      <c r="H39" s="456"/>
    </row>
    <row r="40" spans="2:10" ht="24" customHeight="1" x14ac:dyDescent="0.2">
      <c r="B40" s="165">
        <v>14</v>
      </c>
      <c r="C40" s="168" t="s">
        <v>238</v>
      </c>
      <c r="D40" s="383">
        <v>3000</v>
      </c>
      <c r="E40" s="257">
        <v>504</v>
      </c>
      <c r="F40" s="258">
        <f t="shared" si="4"/>
        <v>5.9523809523809526</v>
      </c>
      <c r="G40" s="460">
        <f t="shared" si="3"/>
        <v>0.49603174603174605</v>
      </c>
      <c r="H40" s="456"/>
    </row>
    <row r="41" spans="2:10" ht="25.5" customHeight="1" x14ac:dyDescent="0.2">
      <c r="B41" s="165">
        <v>15</v>
      </c>
      <c r="C41" s="168" t="s">
        <v>239</v>
      </c>
      <c r="D41" s="383">
        <v>3000</v>
      </c>
      <c r="E41" s="257">
        <v>504.7</v>
      </c>
      <c r="F41" s="258">
        <f t="shared" si="4"/>
        <v>5.9441252229046961</v>
      </c>
      <c r="G41" s="460">
        <f t="shared" si="3"/>
        <v>0.49534376857539136</v>
      </c>
      <c r="H41" s="456"/>
    </row>
    <row r="42" spans="2:10" ht="27" customHeight="1" x14ac:dyDescent="0.2">
      <c r="B42" s="165">
        <v>16</v>
      </c>
      <c r="C42" s="168" t="s">
        <v>186</v>
      </c>
      <c r="D42" s="467">
        <v>2500</v>
      </c>
      <c r="E42" s="317">
        <v>298.10000000000002</v>
      </c>
      <c r="F42" s="318">
        <f t="shared" si="4"/>
        <v>8.3864475008386439</v>
      </c>
      <c r="G42" s="463">
        <f t="shared" si="3"/>
        <v>0.69887062506988695</v>
      </c>
      <c r="H42" s="456"/>
    </row>
    <row r="43" spans="2:10" ht="21" customHeight="1" x14ac:dyDescent="0.2">
      <c r="B43" s="464"/>
      <c r="C43" s="325" t="s">
        <v>237</v>
      </c>
      <c r="D43" s="527">
        <f>SUM(D36:D42)</f>
        <v>21000</v>
      </c>
      <c r="E43" s="325"/>
      <c r="F43" s="511"/>
      <c r="G43" s="514"/>
      <c r="H43" s="456"/>
    </row>
    <row r="44" spans="2:10" ht="19.5" customHeight="1" thickBot="1" x14ac:dyDescent="0.25">
      <c r="B44" s="465"/>
      <c r="C44" s="466" t="s">
        <v>206</v>
      </c>
      <c r="D44" s="528">
        <f>D34+D43</f>
        <v>72891.199999999997</v>
      </c>
      <c r="E44" s="466"/>
      <c r="F44" s="512"/>
      <c r="G44" s="515"/>
      <c r="H44" s="447"/>
      <c r="I44" s="149"/>
    </row>
    <row r="45" spans="2:10" x14ac:dyDescent="0.2">
      <c r="B45" s="334"/>
      <c r="C45" s="334"/>
      <c r="D45" s="334"/>
      <c r="E45" s="334"/>
      <c r="F45" s="334"/>
      <c r="G45" s="334"/>
    </row>
    <row r="46" spans="2:10" x14ac:dyDescent="0.2">
      <c r="C46" s="334"/>
    </row>
    <row r="47" spans="2:10" x14ac:dyDescent="0.2">
      <c r="G47" s="334"/>
    </row>
    <row r="50" spans="5:6" x14ac:dyDescent="0.2">
      <c r="F50" s="334"/>
    </row>
    <row r="51" spans="5:6" x14ac:dyDescent="0.2">
      <c r="E51" s="334"/>
    </row>
  </sheetData>
  <mergeCells count="9">
    <mergeCell ref="B24:C24"/>
    <mergeCell ref="B4:D4"/>
    <mergeCell ref="B7:D7"/>
    <mergeCell ref="B17:C17"/>
    <mergeCell ref="B22:C22"/>
    <mergeCell ref="B20:C20"/>
    <mergeCell ref="C6:D6"/>
    <mergeCell ref="B10:F10"/>
    <mergeCell ref="C5:D5"/>
  </mergeCells>
  <phoneticPr fontId="10" type="noConversion"/>
  <pageMargins left="0.39" right="0.11811023622047245" top="0.35433070866141736" bottom="0.35433070866141736" header="0.28999999999999998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zoomScale="88" zoomScaleNormal="88" workbookViewId="0">
      <selection activeCell="N40" sqref="N40"/>
    </sheetView>
  </sheetViews>
  <sheetFormatPr defaultRowHeight="12.75" x14ac:dyDescent="0.2"/>
  <cols>
    <col min="1" max="1" width="2.140625" style="148" customWidth="1"/>
    <col min="2" max="2" width="4.28515625" customWidth="1"/>
    <col min="3" max="3" width="57.28515625" customWidth="1"/>
    <col min="4" max="4" width="12.140625" customWidth="1"/>
    <col min="5" max="5" width="17.85546875" customWidth="1"/>
    <col min="6" max="6" width="17" customWidth="1"/>
    <col min="7" max="7" width="12.42578125" customWidth="1"/>
  </cols>
  <sheetData>
    <row r="1" spans="1:15" ht="45" customHeight="1" x14ac:dyDescent="0.25">
      <c r="B1" s="64" t="s">
        <v>189</v>
      </c>
      <c r="F1" s="66"/>
      <c r="G1" s="68"/>
    </row>
    <row r="2" spans="1:15" ht="15.75" x14ac:dyDescent="0.25">
      <c r="B2" s="64" t="s">
        <v>68</v>
      </c>
      <c r="C2" s="14"/>
      <c r="D2" s="327" t="s">
        <v>118</v>
      </c>
      <c r="E2" s="327"/>
      <c r="F2" s="328"/>
      <c r="G2" s="328"/>
    </row>
    <row r="3" spans="1:15" ht="15.75" x14ac:dyDescent="0.25">
      <c r="B3" s="64"/>
      <c r="C3" s="14"/>
      <c r="D3" s="327" t="s">
        <v>226</v>
      </c>
      <c r="E3" s="327"/>
      <c r="F3" s="328"/>
      <c r="G3" s="328"/>
    </row>
    <row r="4" spans="1:15" ht="16.899999999999999" customHeight="1" thickBot="1" x14ac:dyDescent="0.25">
      <c r="D4" s="328"/>
      <c r="E4" s="328"/>
      <c r="F4" s="328"/>
      <c r="G4" s="328"/>
    </row>
    <row r="5" spans="1:15" ht="39.75" customHeight="1" thickBot="1" x14ac:dyDescent="0.25">
      <c r="B5" s="765" t="s">
        <v>126</v>
      </c>
      <c r="C5" s="766"/>
      <c r="D5" s="173" t="s">
        <v>86</v>
      </c>
      <c r="E5" s="174" t="s">
        <v>85</v>
      </c>
      <c r="F5" s="175" t="s">
        <v>88</v>
      </c>
      <c r="G5" s="410" t="s">
        <v>18</v>
      </c>
    </row>
    <row r="6" spans="1:15" s="148" customFormat="1" ht="24" customHeight="1" x14ac:dyDescent="0.2">
      <c r="B6" s="411">
        <v>1</v>
      </c>
      <c r="C6" s="291" t="s">
        <v>153</v>
      </c>
      <c r="D6" s="292">
        <f>E6*12</f>
        <v>60840</v>
      </c>
      <c r="E6" s="293">
        <v>5070</v>
      </c>
      <c r="F6" s="293">
        <f>'Площади помещений'!H19-'Площади помещений'!G19-'Площади помещений'!F19-'Площади помещений'!E19-'Площади помещений'!D12</f>
        <v>9952.1000000000022</v>
      </c>
      <c r="G6" s="412">
        <f>E6/F6</f>
        <v>0.50944021864732059</v>
      </c>
      <c r="O6" s="288"/>
    </row>
    <row r="7" spans="1:15" s="148" customFormat="1" ht="24" customHeight="1" x14ac:dyDescent="0.2">
      <c r="B7" s="413">
        <v>2</v>
      </c>
      <c r="C7" s="290" t="s">
        <v>261</v>
      </c>
      <c r="D7" s="392">
        <v>5892</v>
      </c>
      <c r="E7" s="390">
        <v>491</v>
      </c>
      <c r="F7" s="390">
        <v>2166.8000000000002</v>
      </c>
      <c r="G7" s="414">
        <f>E7/F7</f>
        <v>0.22660143991139006</v>
      </c>
      <c r="O7" s="288"/>
    </row>
    <row r="8" spans="1:15" s="148" customFormat="1" ht="24" customHeight="1" x14ac:dyDescent="0.2">
      <c r="B8" s="411">
        <v>3</v>
      </c>
      <c r="C8" s="290" t="s">
        <v>260</v>
      </c>
      <c r="D8" s="392">
        <v>1964</v>
      </c>
      <c r="E8" s="639">
        <v>163.66999999999999</v>
      </c>
      <c r="F8" s="390">
        <v>1456.1</v>
      </c>
      <c r="G8" s="414">
        <v>0.11</v>
      </c>
      <c r="O8" s="288"/>
    </row>
    <row r="9" spans="1:15" s="148" customFormat="1" ht="24" customHeight="1" x14ac:dyDescent="0.2">
      <c r="B9" s="413">
        <v>4</v>
      </c>
      <c r="C9" s="290" t="s">
        <v>256</v>
      </c>
      <c r="D9" s="392">
        <v>1964</v>
      </c>
      <c r="E9" s="639">
        <v>163.66999999999999</v>
      </c>
      <c r="F9" s="390">
        <v>837.8</v>
      </c>
      <c r="G9" s="414">
        <v>0.2</v>
      </c>
      <c r="O9" s="288"/>
    </row>
    <row r="10" spans="1:15" s="148" customFormat="1" ht="24" customHeight="1" x14ac:dyDescent="0.2">
      <c r="B10" s="411">
        <v>5</v>
      </c>
      <c r="C10" s="290" t="s">
        <v>257</v>
      </c>
      <c r="D10" s="392">
        <v>3928</v>
      </c>
      <c r="E10" s="390">
        <v>327.33999999999997</v>
      </c>
      <c r="F10" s="390">
        <v>1456.1</v>
      </c>
      <c r="G10" s="414">
        <f t="shared" ref="G10:G16" si="0">E10/F10</f>
        <v>0.22480598859968409</v>
      </c>
      <c r="O10" s="288"/>
    </row>
    <row r="11" spans="1:15" s="148" customFormat="1" ht="24" customHeight="1" x14ac:dyDescent="0.2">
      <c r="B11" s="413">
        <v>6</v>
      </c>
      <c r="C11" s="290" t="s">
        <v>258</v>
      </c>
      <c r="D11" s="392">
        <v>3928</v>
      </c>
      <c r="E11" s="390">
        <v>327.33999999999997</v>
      </c>
      <c r="F11" s="390">
        <v>1455.1</v>
      </c>
      <c r="G11" s="414">
        <f t="shared" si="0"/>
        <v>0.22496048381554531</v>
      </c>
      <c r="O11" s="288"/>
    </row>
    <row r="12" spans="1:15" s="148" customFormat="1" ht="24" customHeight="1" x14ac:dyDescent="0.2">
      <c r="B12" s="411">
        <v>7</v>
      </c>
      <c r="C12" s="290" t="s">
        <v>259</v>
      </c>
      <c r="D12" s="392">
        <v>3928</v>
      </c>
      <c r="E12" s="390">
        <v>327.33999999999997</v>
      </c>
      <c r="F12" s="390">
        <v>1707.1</v>
      </c>
      <c r="G12" s="414">
        <f t="shared" si="0"/>
        <v>0.19175209419483333</v>
      </c>
      <c r="O12" s="288"/>
    </row>
    <row r="13" spans="1:15" s="663" customFormat="1" ht="27" customHeight="1" thickBot="1" x14ac:dyDescent="0.25">
      <c r="A13" s="658"/>
      <c r="B13" s="648"/>
      <c r="C13" s="668" t="s">
        <v>211</v>
      </c>
      <c r="D13" s="649">
        <f>SUM(D6:D12)</f>
        <v>82444</v>
      </c>
      <c r="E13" s="650"/>
      <c r="F13" s="651"/>
      <c r="G13" s="652"/>
      <c r="O13" s="669"/>
    </row>
    <row r="14" spans="1:15" s="417" customFormat="1" ht="15.75" thickBot="1" x14ac:dyDescent="0.3">
      <c r="A14" s="641"/>
      <c r="B14" s="643"/>
      <c r="C14" s="644"/>
      <c r="D14" s="645"/>
      <c r="E14" s="646"/>
      <c r="F14" s="647"/>
      <c r="G14" s="646"/>
      <c r="O14" s="642"/>
    </row>
    <row r="15" spans="1:15" s="148" customFormat="1" ht="27" customHeight="1" x14ac:dyDescent="0.2">
      <c r="B15" s="653">
        <v>1</v>
      </c>
      <c r="C15" s="654" t="s">
        <v>147</v>
      </c>
      <c r="D15" s="655">
        <v>20400</v>
      </c>
      <c r="E15" s="656">
        <f>D15/12</f>
        <v>1700</v>
      </c>
      <c r="F15" s="656">
        <f>'Площади помещений'!G11</f>
        <v>553.20000000000005</v>
      </c>
      <c r="G15" s="657">
        <f t="shared" si="0"/>
        <v>3.0730296456977584</v>
      </c>
    </row>
    <row r="16" spans="1:15" s="148" customFormat="1" ht="26.25" customHeight="1" thickBot="1" x14ac:dyDescent="0.25">
      <c r="B16" s="413">
        <v>2</v>
      </c>
      <c r="C16" s="290" t="s">
        <v>166</v>
      </c>
      <c r="D16" s="298">
        <v>4000</v>
      </c>
      <c r="E16" s="390">
        <f t="shared" ref="E16:E44" si="1">D16/12</f>
        <v>333.33333333333331</v>
      </c>
      <c r="F16" s="390">
        <f>F15</f>
        <v>553.20000000000005</v>
      </c>
      <c r="G16" s="415">
        <f t="shared" si="0"/>
        <v>0.6025548324897565</v>
      </c>
    </row>
    <row r="17" spans="1:16" s="663" customFormat="1" ht="26.25" customHeight="1" thickBot="1" x14ac:dyDescent="0.25">
      <c r="A17" s="658"/>
      <c r="B17" s="357"/>
      <c r="C17" s="659" t="s">
        <v>210</v>
      </c>
      <c r="D17" s="660">
        <f>SUM(D15:D16)</f>
        <v>24400</v>
      </c>
      <c r="E17" s="661">
        <f>SUM(E15:E16)</f>
        <v>2033.3333333333333</v>
      </c>
      <c r="F17" s="662">
        <f>SUM(F15:F16)</f>
        <v>1106.4000000000001</v>
      </c>
      <c r="G17" s="416">
        <f>SUM(G15:G16)</f>
        <v>3.6755844781875151</v>
      </c>
    </row>
    <row r="18" spans="1:16" s="417" customFormat="1" ht="15" customHeight="1" thickBot="1" x14ac:dyDescent="0.25">
      <c r="B18" s="259"/>
      <c r="C18" s="287"/>
      <c r="D18" s="261"/>
      <c r="E18" s="262"/>
      <c r="F18" s="262"/>
      <c r="G18" s="640"/>
    </row>
    <row r="19" spans="1:16" s="148" customFormat="1" ht="26.25" customHeight="1" x14ac:dyDescent="0.2">
      <c r="B19" s="653">
        <v>1</v>
      </c>
      <c r="C19" s="654" t="s">
        <v>145</v>
      </c>
      <c r="D19" s="655">
        <v>42000</v>
      </c>
      <c r="E19" s="656">
        <f t="shared" si="1"/>
        <v>3500</v>
      </c>
      <c r="F19" s="656">
        <f>'Площади помещений'!G13</f>
        <v>505.2</v>
      </c>
      <c r="G19" s="657">
        <f t="shared" ref="G19:G26" si="2">E19/F19</f>
        <v>6.9279493269992081</v>
      </c>
      <c r="O19" s="288"/>
    </row>
    <row r="20" spans="1:16" s="148" customFormat="1" ht="26.25" customHeight="1" x14ac:dyDescent="0.2">
      <c r="B20" s="413">
        <v>2</v>
      </c>
      <c r="C20" s="391" t="s">
        <v>224</v>
      </c>
      <c r="D20" s="392">
        <v>42635</v>
      </c>
      <c r="E20" s="390">
        <f t="shared" si="1"/>
        <v>3552.9166666666665</v>
      </c>
      <c r="F20" s="390">
        <v>505.2</v>
      </c>
      <c r="G20" s="415">
        <f t="shared" si="2"/>
        <v>7.0326933227764581</v>
      </c>
      <c r="O20" s="288"/>
    </row>
    <row r="21" spans="1:16" s="148" customFormat="1" ht="26.25" customHeight="1" thickBot="1" x14ac:dyDescent="0.25">
      <c r="B21" s="413">
        <v>3</v>
      </c>
      <c r="C21" s="290" t="s">
        <v>168</v>
      </c>
      <c r="D21" s="298">
        <v>4000</v>
      </c>
      <c r="E21" s="390">
        <f t="shared" si="1"/>
        <v>333.33333333333331</v>
      </c>
      <c r="F21" s="390">
        <v>505.2</v>
      </c>
      <c r="G21" s="415">
        <f t="shared" si="2"/>
        <v>0.65980469780944839</v>
      </c>
    </row>
    <row r="22" spans="1:16" s="663" customFormat="1" ht="26.25" customHeight="1" thickBot="1" x14ac:dyDescent="0.25">
      <c r="B22" s="357"/>
      <c r="C22" s="659" t="s">
        <v>212</v>
      </c>
      <c r="D22" s="660">
        <f>SUM(D19:D21)</f>
        <v>88635</v>
      </c>
      <c r="E22" s="660">
        <f>SUM(E19:E21)</f>
        <v>7386.2499999999991</v>
      </c>
      <c r="F22" s="662">
        <f>SUM(F19:F21)</f>
        <v>1515.6</v>
      </c>
      <c r="G22" s="416">
        <f>SUM(G19:G21)</f>
        <v>14.620447347585115</v>
      </c>
    </row>
    <row r="23" spans="1:16" s="417" customFormat="1" ht="15" customHeight="1" thickBot="1" x14ac:dyDescent="0.25">
      <c r="B23" s="259"/>
      <c r="C23" s="287"/>
      <c r="D23" s="261"/>
      <c r="E23" s="262"/>
      <c r="F23" s="262"/>
      <c r="G23" s="640"/>
    </row>
    <row r="24" spans="1:16" s="148" customFormat="1" ht="26.25" customHeight="1" x14ac:dyDescent="0.2">
      <c r="B24" s="653">
        <v>1</v>
      </c>
      <c r="C24" s="654" t="s">
        <v>146</v>
      </c>
      <c r="D24" s="655">
        <v>42000</v>
      </c>
      <c r="E24" s="656">
        <f t="shared" si="1"/>
        <v>3500</v>
      </c>
      <c r="F24" s="656">
        <f>'Площади помещений'!G14</f>
        <v>507.6</v>
      </c>
      <c r="G24" s="657">
        <f t="shared" si="2"/>
        <v>6.8951930654058309</v>
      </c>
      <c r="O24" s="288"/>
    </row>
    <row r="25" spans="1:16" s="148" customFormat="1" ht="26.25" customHeight="1" x14ac:dyDescent="0.2">
      <c r="B25" s="413">
        <v>2</v>
      </c>
      <c r="C25" s="391" t="s">
        <v>223</v>
      </c>
      <c r="D25" s="392">
        <v>39019</v>
      </c>
      <c r="E25" s="390">
        <f t="shared" si="1"/>
        <v>3251.5833333333335</v>
      </c>
      <c r="F25" s="390">
        <v>507.6</v>
      </c>
      <c r="G25" s="415">
        <f t="shared" si="2"/>
        <v>6.4057985290254793</v>
      </c>
      <c r="O25" s="288"/>
    </row>
    <row r="26" spans="1:16" s="148" customFormat="1" ht="26.25" customHeight="1" thickBot="1" x14ac:dyDescent="0.25">
      <c r="B26" s="413">
        <v>3</v>
      </c>
      <c r="C26" s="290" t="s">
        <v>167</v>
      </c>
      <c r="D26" s="298">
        <v>4000</v>
      </c>
      <c r="E26" s="390">
        <f t="shared" si="1"/>
        <v>333.33333333333331</v>
      </c>
      <c r="F26" s="390">
        <f>F24</f>
        <v>507.6</v>
      </c>
      <c r="G26" s="415">
        <f t="shared" si="2"/>
        <v>0.65668505384817433</v>
      </c>
    </row>
    <row r="27" spans="1:16" s="663" customFormat="1" ht="26.25" customHeight="1" thickBot="1" x14ac:dyDescent="0.25">
      <c r="B27" s="357"/>
      <c r="C27" s="659" t="s">
        <v>213</v>
      </c>
      <c r="D27" s="660">
        <f>SUM(D24:D26)</f>
        <v>85019</v>
      </c>
      <c r="E27" s="664">
        <f>SUM(E24:E26)</f>
        <v>7084.916666666667</v>
      </c>
      <c r="F27" s="660">
        <f>SUM(F24:F26)</f>
        <v>1522.8000000000002</v>
      </c>
      <c r="G27" s="416">
        <f>SUM(G24:G26)</f>
        <v>13.957676648279485</v>
      </c>
    </row>
    <row r="28" spans="1:16" s="417" customFormat="1" ht="15" customHeight="1" thickBot="1" x14ac:dyDescent="0.25">
      <c r="B28" s="259"/>
      <c r="C28" s="287"/>
      <c r="D28" s="261"/>
      <c r="E28" s="262"/>
      <c r="F28" s="262"/>
      <c r="G28" s="640"/>
    </row>
    <row r="29" spans="1:16" s="148" customFormat="1" ht="26.25" customHeight="1" x14ac:dyDescent="0.2">
      <c r="B29" s="653">
        <v>1</v>
      </c>
      <c r="C29" s="654" t="s">
        <v>148</v>
      </c>
      <c r="D29" s="655">
        <v>33600</v>
      </c>
      <c r="E29" s="656">
        <f t="shared" si="1"/>
        <v>2800</v>
      </c>
      <c r="F29" s="656">
        <f>'Площади помещений'!G15</f>
        <v>302.8</v>
      </c>
      <c r="G29" s="657">
        <f>E29/F29</f>
        <v>9.2470277410832225</v>
      </c>
      <c r="P29" s="289"/>
    </row>
    <row r="30" spans="1:16" s="148" customFormat="1" ht="26.25" customHeight="1" x14ac:dyDescent="0.2">
      <c r="B30" s="413">
        <v>2</v>
      </c>
      <c r="C30" s="391" t="s">
        <v>225</v>
      </c>
      <c r="D30" s="392">
        <v>2010</v>
      </c>
      <c r="E30" s="390">
        <f t="shared" si="1"/>
        <v>167.5</v>
      </c>
      <c r="F30" s="390">
        <v>302.8</v>
      </c>
      <c r="G30" s="415">
        <f t="shared" ref="G30:G31" si="3">E30/F30</f>
        <v>0.55317040951122853</v>
      </c>
      <c r="P30" s="289"/>
    </row>
    <row r="31" spans="1:16" s="148" customFormat="1" ht="26.25" customHeight="1" thickBot="1" x14ac:dyDescent="0.25">
      <c r="B31" s="413">
        <v>3</v>
      </c>
      <c r="C31" s="290" t="s">
        <v>149</v>
      </c>
      <c r="D31" s="298">
        <v>2000</v>
      </c>
      <c r="E31" s="390">
        <f t="shared" si="1"/>
        <v>166.66666666666666</v>
      </c>
      <c r="F31" s="390">
        <v>302.8</v>
      </c>
      <c r="G31" s="415">
        <f t="shared" si="3"/>
        <v>0.55041831792162033</v>
      </c>
    </row>
    <row r="32" spans="1:16" s="663" customFormat="1" ht="26.25" customHeight="1" thickBot="1" x14ac:dyDescent="0.25">
      <c r="B32" s="357"/>
      <c r="C32" s="659" t="s">
        <v>214</v>
      </c>
      <c r="D32" s="665">
        <f>SUM(D29:D31)</f>
        <v>37610</v>
      </c>
      <c r="E32" s="661">
        <f>SUM(E29:E31)</f>
        <v>3134.1666666666665</v>
      </c>
      <c r="F32" s="660">
        <f>SUM(F29:F31)</f>
        <v>908.40000000000009</v>
      </c>
      <c r="G32" s="416">
        <f>SUM(G29:G31)</f>
        <v>10.350616468516071</v>
      </c>
    </row>
    <row r="33" spans="1:16" s="417" customFormat="1" ht="14.25" customHeight="1" thickBot="1" x14ac:dyDescent="0.25">
      <c r="B33" s="259"/>
      <c r="C33" s="287"/>
      <c r="D33" s="261"/>
      <c r="E33" s="262"/>
      <c r="F33" s="262"/>
      <c r="G33" s="640"/>
    </row>
    <row r="34" spans="1:16" s="148" customFormat="1" ht="26.25" customHeight="1" x14ac:dyDescent="0.2">
      <c r="B34" s="653">
        <v>1</v>
      </c>
      <c r="C34" s="654" t="s">
        <v>150</v>
      </c>
      <c r="D34" s="655">
        <v>42000</v>
      </c>
      <c r="E34" s="656">
        <f>D34/12</f>
        <v>3500</v>
      </c>
      <c r="F34" s="656">
        <f>'Площади помещений'!G16</f>
        <v>504</v>
      </c>
      <c r="G34" s="657">
        <f>E34/F34</f>
        <v>6.9444444444444446</v>
      </c>
      <c r="P34" s="288"/>
    </row>
    <row r="35" spans="1:16" s="148" customFormat="1" ht="26.25" customHeight="1" x14ac:dyDescent="0.2">
      <c r="B35" s="413">
        <v>2</v>
      </c>
      <c r="C35" s="290" t="s">
        <v>169</v>
      </c>
      <c r="D35" s="298">
        <v>4000</v>
      </c>
      <c r="E35" s="390">
        <f t="shared" si="1"/>
        <v>333.33333333333331</v>
      </c>
      <c r="F35" s="390">
        <f>'Площади помещений'!G17</f>
        <v>504.7</v>
      </c>
      <c r="G35" s="415">
        <f t="shared" ref="G35:G36" si="4">E35/F35</f>
        <v>0.66045835810052178</v>
      </c>
    </row>
    <row r="36" spans="1:16" s="148" customFormat="1" ht="26.25" customHeight="1" thickBot="1" x14ac:dyDescent="0.25">
      <c r="B36" s="413">
        <v>3</v>
      </c>
      <c r="C36" s="290" t="s">
        <v>207</v>
      </c>
      <c r="D36" s="392">
        <v>1125</v>
      </c>
      <c r="E36" s="390">
        <f>D36/12</f>
        <v>93.75</v>
      </c>
      <c r="F36" s="390">
        <v>504.7</v>
      </c>
      <c r="G36" s="415">
        <f t="shared" si="4"/>
        <v>0.18575391321577175</v>
      </c>
    </row>
    <row r="37" spans="1:16" s="663" customFormat="1" ht="26.25" customHeight="1" thickBot="1" x14ac:dyDescent="0.25">
      <c r="B37" s="357"/>
      <c r="C37" s="659" t="s">
        <v>215</v>
      </c>
      <c r="D37" s="665">
        <f>SUM(D34:D36)</f>
        <v>47125</v>
      </c>
      <c r="E37" s="666">
        <f>SUM(E34:E36)</f>
        <v>3927.0833333333335</v>
      </c>
      <c r="F37" s="660">
        <f>SUM(F34:F36)</f>
        <v>1513.4</v>
      </c>
      <c r="G37" s="416">
        <f>SUM(G34:G36)</f>
        <v>7.790656715760738</v>
      </c>
    </row>
    <row r="38" spans="1:16" s="334" customFormat="1" ht="12" customHeight="1" thickBot="1" x14ac:dyDescent="0.25">
      <c r="A38" s="417"/>
      <c r="C38" s="417"/>
      <c r="E38" s="262"/>
    </row>
    <row r="39" spans="1:16" s="148" customFormat="1" ht="26.25" customHeight="1" x14ac:dyDescent="0.2">
      <c r="B39" s="653">
        <v>1</v>
      </c>
      <c r="C39" s="654" t="s">
        <v>151</v>
      </c>
      <c r="D39" s="655">
        <v>42000</v>
      </c>
      <c r="E39" s="656">
        <f t="shared" si="1"/>
        <v>3500</v>
      </c>
      <c r="F39" s="656">
        <f>'Площади помещений'!G17</f>
        <v>504.7</v>
      </c>
      <c r="G39" s="657">
        <f>E39/F39</f>
        <v>6.934812760055479</v>
      </c>
    </row>
    <row r="40" spans="1:16" ht="26.25" customHeight="1" thickBot="1" x14ac:dyDescent="0.25">
      <c r="B40" s="413">
        <v>2</v>
      </c>
      <c r="C40" s="290" t="s">
        <v>170</v>
      </c>
      <c r="D40" s="298">
        <v>4000</v>
      </c>
      <c r="E40" s="390">
        <f t="shared" si="1"/>
        <v>333.33333333333331</v>
      </c>
      <c r="F40" s="390">
        <f>F39</f>
        <v>504.7</v>
      </c>
      <c r="G40" s="415">
        <f>E40/F40</f>
        <v>0.66045835810052178</v>
      </c>
      <c r="N40" s="161"/>
    </row>
    <row r="41" spans="1:16" s="4" customFormat="1" ht="26.25" customHeight="1" thickBot="1" x14ac:dyDescent="0.25">
      <c r="A41" s="658"/>
      <c r="B41" s="357"/>
      <c r="C41" s="659" t="s">
        <v>216</v>
      </c>
      <c r="D41" s="665">
        <f>SUM(D39:D40)</f>
        <v>46000</v>
      </c>
      <c r="E41" s="666">
        <f>SUM(E39:E40)</f>
        <v>3833.3333333333335</v>
      </c>
      <c r="F41" s="661">
        <f>SUM(F39:F40)</f>
        <v>1009.4</v>
      </c>
      <c r="G41" s="416">
        <f>SUM(G39:G40)</f>
        <v>7.5952711181560009</v>
      </c>
    </row>
    <row r="42" spans="1:16" s="334" customFormat="1" ht="15.75" customHeight="1" thickBot="1" x14ac:dyDescent="0.25">
      <c r="A42" s="417"/>
      <c r="B42" s="259"/>
      <c r="C42" s="287"/>
      <c r="D42" s="261"/>
      <c r="E42" s="262"/>
      <c r="F42" s="262"/>
      <c r="G42" s="640"/>
    </row>
    <row r="43" spans="1:16" s="148" customFormat="1" ht="26.25" customHeight="1" x14ac:dyDescent="0.2">
      <c r="B43" s="653">
        <v>1</v>
      </c>
      <c r="C43" s="654" t="s">
        <v>152</v>
      </c>
      <c r="D43" s="655">
        <v>33600</v>
      </c>
      <c r="E43" s="656">
        <f t="shared" si="1"/>
        <v>2800</v>
      </c>
      <c r="F43" s="656">
        <f>'Площади помещений'!G18</f>
        <v>298.10000000000002</v>
      </c>
      <c r="G43" s="657">
        <f>E43/F43</f>
        <v>9.3928212009392809</v>
      </c>
      <c r="O43" s="288"/>
    </row>
    <row r="44" spans="1:16" ht="26.25" customHeight="1" thickBot="1" x14ac:dyDescent="0.25">
      <c r="B44" s="413">
        <v>2</v>
      </c>
      <c r="C44" s="290" t="s">
        <v>171</v>
      </c>
      <c r="D44" s="298">
        <v>2000</v>
      </c>
      <c r="E44" s="390">
        <f t="shared" si="1"/>
        <v>166.66666666666666</v>
      </c>
      <c r="F44" s="390">
        <f>F43</f>
        <v>298.10000000000002</v>
      </c>
      <c r="G44" s="415">
        <f>E44/F44</f>
        <v>0.55909650005590961</v>
      </c>
    </row>
    <row r="45" spans="1:16" s="4" customFormat="1" ht="26.25" customHeight="1" thickBot="1" x14ac:dyDescent="0.25">
      <c r="A45" s="658"/>
      <c r="B45" s="357"/>
      <c r="C45" s="659" t="s">
        <v>217</v>
      </c>
      <c r="D45" s="660">
        <f>SUM(D43:D44)</f>
        <v>35600</v>
      </c>
      <c r="E45" s="661">
        <f>SUM(E43:E44)</f>
        <v>2966.6666666666665</v>
      </c>
      <c r="F45" s="667">
        <f>SUM(F43:F44)</f>
        <v>596.20000000000005</v>
      </c>
      <c r="G45" s="416">
        <f>SUM(G43:G44)</f>
        <v>9.9519177009951907</v>
      </c>
    </row>
    <row r="46" spans="1:16" s="334" customFormat="1" x14ac:dyDescent="0.2">
      <c r="A46" s="417"/>
    </row>
    <row r="49" spans="2:7" s="148" customFormat="1" x14ac:dyDescent="0.2">
      <c r="B49" s="259"/>
      <c r="C49" s="260"/>
      <c r="D49" s="261"/>
      <c r="E49" s="262"/>
      <c r="F49" s="262"/>
      <c r="G49" s="263"/>
    </row>
    <row r="50" spans="2:7" s="148" customFormat="1" x14ac:dyDescent="0.2">
      <c r="B50" s="259"/>
      <c r="C50" s="260"/>
      <c r="D50" s="261"/>
      <c r="E50" s="262"/>
      <c r="F50" s="262"/>
      <c r="G50" s="263"/>
    </row>
    <row r="51" spans="2:7" s="148" customFormat="1" x14ac:dyDescent="0.2"/>
  </sheetData>
  <mergeCells count="1">
    <mergeCell ref="B5:C5"/>
  </mergeCells>
  <pageMargins left="0.78740157480314965" right="0.31496062992125984" top="0" bottom="0.2" header="0" footer="0.22"/>
  <pageSetup paperSize="9" scale="75" orientation="portrait" r:id="rId1"/>
  <ignoredErrors>
    <ignoredError sqref="E3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3"/>
  <sheetViews>
    <sheetView workbookViewId="0">
      <selection activeCell="F33" sqref="F33:F40"/>
    </sheetView>
  </sheetViews>
  <sheetFormatPr defaultRowHeight="12.75" x14ac:dyDescent="0.2"/>
  <cols>
    <col min="1" max="1" width="15.7109375" customWidth="1"/>
    <col min="2" max="2" width="45.7109375" customWidth="1"/>
    <col min="3" max="3" width="14.85546875" customWidth="1"/>
    <col min="4" max="4" width="15.5703125" customWidth="1"/>
    <col min="5" max="5" width="13.5703125" style="66" customWidth="1"/>
  </cols>
  <sheetData>
    <row r="1" spans="1:8" ht="43.5" customHeight="1" x14ac:dyDescent="0.25">
      <c r="A1" s="64" t="s">
        <v>189</v>
      </c>
      <c r="D1" s="70"/>
      <c r="E1" s="70"/>
      <c r="F1" s="70"/>
    </row>
    <row r="2" spans="1:8" ht="15.75" x14ac:dyDescent="0.25">
      <c r="A2" s="64" t="s">
        <v>69</v>
      </c>
      <c r="B2" s="14"/>
      <c r="C2" s="68" t="s">
        <v>118</v>
      </c>
      <c r="D2" s="70"/>
      <c r="E2" s="70"/>
      <c r="F2" s="70"/>
    </row>
    <row r="3" spans="1:8" ht="14.25" x14ac:dyDescent="0.2">
      <c r="B3" s="6"/>
      <c r="C3" s="68" t="s">
        <v>243</v>
      </c>
      <c r="D3" s="71"/>
      <c r="E3" s="71"/>
      <c r="F3" s="71"/>
    </row>
    <row r="4" spans="1:8" x14ac:dyDescent="0.2">
      <c r="B4" s="47" t="s">
        <v>70</v>
      </c>
      <c r="C4" s="97"/>
    </row>
    <row r="5" spans="1:8" ht="13.5" thickBot="1" x14ac:dyDescent="0.25">
      <c r="B5" s="40"/>
    </row>
    <row r="6" spans="1:8" ht="25.5" customHeight="1" thickBot="1" x14ac:dyDescent="0.25">
      <c r="A6" s="771" t="s">
        <v>61</v>
      </c>
      <c r="B6" s="772"/>
      <c r="C6" s="217" t="s">
        <v>60</v>
      </c>
      <c r="D6" s="218" t="s">
        <v>90</v>
      </c>
      <c r="E6" s="217" t="s">
        <v>62</v>
      </c>
    </row>
    <row r="7" spans="1:8" ht="18" customHeight="1" x14ac:dyDescent="0.2">
      <c r="A7" s="773" t="s">
        <v>120</v>
      </c>
      <c r="B7" s="232" t="s">
        <v>5</v>
      </c>
      <c r="C7" s="220">
        <f>'ФОТ '!J7</f>
        <v>520800</v>
      </c>
      <c r="D7" s="226">
        <f>C7/12</f>
        <v>43400</v>
      </c>
      <c r="E7" s="48">
        <f>'ФОТ '!Q7</f>
        <v>2.7605002274849748</v>
      </c>
    </row>
    <row r="8" spans="1:8" ht="18.75" customHeight="1" x14ac:dyDescent="0.2">
      <c r="A8" s="774"/>
      <c r="B8" s="233" t="s">
        <v>19</v>
      </c>
      <c r="C8" s="372">
        <f>'ФОТ '!J8</f>
        <v>233462.06896551722</v>
      </c>
      <c r="D8" s="373">
        <f t="shared" ref="D8:D30" si="0">C8/12</f>
        <v>19455.172413793101</v>
      </c>
      <c r="E8" s="374">
        <f>'ФОТ '!Q8</f>
        <v>1.1646735239693198</v>
      </c>
      <c r="F8" s="367"/>
    </row>
    <row r="9" spans="1:8" x14ac:dyDescent="0.2">
      <c r="A9" s="774"/>
      <c r="B9" s="233" t="s">
        <v>15</v>
      </c>
      <c r="C9" s="105">
        <f>'ФОТ '!J9</f>
        <v>143668.96551724139</v>
      </c>
      <c r="D9" s="110">
        <f t="shared" si="0"/>
        <v>11972.413793103449</v>
      </c>
      <c r="E9" s="49">
        <f>'ФОТ '!Q9</f>
        <v>0.77644901597954663</v>
      </c>
    </row>
    <row r="10" spans="1:8" x14ac:dyDescent="0.2">
      <c r="A10" s="774"/>
      <c r="B10" s="233" t="s">
        <v>96</v>
      </c>
      <c r="C10" s="105">
        <f>'ФОТ '!J10</f>
        <v>179586.20689655174</v>
      </c>
      <c r="D10" s="110">
        <f t="shared" si="0"/>
        <v>14965.517241379312</v>
      </c>
      <c r="E10" s="49">
        <f>'ФОТ '!Q10</f>
        <v>0.97056126997443315</v>
      </c>
      <c r="F10" s="149"/>
    </row>
    <row r="11" spans="1:8" x14ac:dyDescent="0.2">
      <c r="A11" s="774"/>
      <c r="B11" s="233" t="s">
        <v>13</v>
      </c>
      <c r="C11" s="105">
        <f>'ФОТ '!J11</f>
        <v>170606.89655172412</v>
      </c>
      <c r="D11" s="110">
        <f t="shared" si="0"/>
        <v>14217.241379310342</v>
      </c>
      <c r="E11" s="49">
        <f>'ФОТ '!Q11</f>
        <v>0.92203320647571141</v>
      </c>
      <c r="H11" s="306"/>
    </row>
    <row r="12" spans="1:8" x14ac:dyDescent="0.2">
      <c r="A12" s="774"/>
      <c r="B12" s="233" t="s">
        <v>6</v>
      </c>
      <c r="C12" s="105">
        <f>'ФОТ '!J12</f>
        <v>233462.06896551722</v>
      </c>
      <c r="D12" s="110">
        <f t="shared" si="0"/>
        <v>19455.172413793101</v>
      </c>
      <c r="E12" s="49">
        <f>'ФОТ '!Q12</f>
        <v>1.261729650966763</v>
      </c>
    </row>
    <row r="13" spans="1:8" x14ac:dyDescent="0.2">
      <c r="A13" s="774"/>
      <c r="B13" s="233" t="s">
        <v>12</v>
      </c>
      <c r="C13" s="105">
        <f>'ФОТ '!J13</f>
        <v>269379.31034482759</v>
      </c>
      <c r="D13" s="110">
        <f t="shared" si="0"/>
        <v>22448.275862068967</v>
      </c>
      <c r="E13" s="49">
        <f>'ФОТ '!Q13</f>
        <v>1.45584190496165</v>
      </c>
    </row>
    <row r="14" spans="1:8" x14ac:dyDescent="0.2">
      <c r="A14" s="774"/>
      <c r="B14" s="233" t="s">
        <v>7</v>
      </c>
      <c r="C14" s="105">
        <f>'ФОТ '!J14</f>
        <v>73630.344827586203</v>
      </c>
      <c r="D14" s="110">
        <f t="shared" si="0"/>
        <v>6135.8620689655172</v>
      </c>
      <c r="E14" s="49">
        <f>'ФОТ '!Q14</f>
        <v>0.39793012068951761</v>
      </c>
    </row>
    <row r="15" spans="1:8" ht="13.5" thickBot="1" x14ac:dyDescent="0.25">
      <c r="A15" s="775"/>
      <c r="B15" s="234" t="s">
        <v>14</v>
      </c>
      <c r="C15" s="221">
        <f>'ФОТ '!J16</f>
        <v>80813.613517241378</v>
      </c>
      <c r="D15" s="227">
        <f>C15/12</f>
        <v>6734.4677931034485</v>
      </c>
      <c r="E15" s="50">
        <f>'ФОТ '!Q16</f>
        <v>0.58038514625857063</v>
      </c>
    </row>
    <row r="16" spans="1:8" x14ac:dyDescent="0.2">
      <c r="A16" s="776" t="s">
        <v>81</v>
      </c>
      <c r="B16" s="232" t="s">
        <v>209</v>
      </c>
      <c r="C16" s="220">
        <f>'ФОТ '!J17</f>
        <v>518893.69241379312</v>
      </c>
      <c r="D16" s="226">
        <f>'ФОТ '!K17</f>
        <v>43241.14103448276</v>
      </c>
      <c r="E16" s="48">
        <f>'ФОТ '!Q17</f>
        <v>4.7070034921296005</v>
      </c>
    </row>
    <row r="17" spans="1:9" x14ac:dyDescent="0.2">
      <c r="A17" s="777"/>
      <c r="B17" s="341" t="s">
        <v>275</v>
      </c>
      <c r="C17" s="342">
        <f>'ФОТ '!J20</f>
        <v>68355</v>
      </c>
      <c r="D17" s="109">
        <f>'ФОТ '!K20</f>
        <v>5696.25</v>
      </c>
      <c r="E17" s="343">
        <f>'ФОТ '!Q20</f>
        <v>1.9436023622047243</v>
      </c>
    </row>
    <row r="18" spans="1:9" x14ac:dyDescent="0.2">
      <c r="A18" s="777"/>
      <c r="B18" s="233" t="s">
        <v>57</v>
      </c>
      <c r="C18" s="105">
        <f>'ФОТ '!J18</f>
        <v>728603.51006896549</v>
      </c>
      <c r="D18" s="110">
        <f>'ФОТ '!K18</f>
        <v>60716.959172413794</v>
      </c>
      <c r="E18" s="49">
        <f>'ФОТ '!Q18</f>
        <v>4.7653229519325189</v>
      </c>
    </row>
    <row r="19" spans="1:9" x14ac:dyDescent="0.2">
      <c r="A19" s="777"/>
      <c r="B19" s="233" t="s">
        <v>274</v>
      </c>
      <c r="C19" s="105">
        <f>'ФОТ '!J21</f>
        <v>95697</v>
      </c>
      <c r="D19" s="110">
        <f>'ФОТ '!K21</f>
        <v>7974.75</v>
      </c>
      <c r="E19" s="49">
        <f>'ФОТ '!Q21</f>
        <v>2.7210433070866142</v>
      </c>
    </row>
    <row r="20" spans="1:9" x14ac:dyDescent="0.2">
      <c r="A20" s="777"/>
      <c r="B20" s="233" t="s">
        <v>56</v>
      </c>
      <c r="C20" s="105">
        <f>'ФОТ '!J19</f>
        <v>197544.8275862069</v>
      </c>
      <c r="D20" s="110">
        <f t="shared" si="0"/>
        <v>16462.068965517243</v>
      </c>
      <c r="E20" s="49">
        <f>'ФОТ '!Q19</f>
        <v>6.1470798448838444</v>
      </c>
    </row>
    <row r="21" spans="1:9" ht="16.5" customHeight="1" thickBot="1" x14ac:dyDescent="0.25">
      <c r="A21" s="778"/>
      <c r="B21" s="234" t="s">
        <v>55</v>
      </c>
      <c r="C21" s="221">
        <f>'ФОТ '!J22</f>
        <v>256808.27586206896</v>
      </c>
      <c r="D21" s="227">
        <f t="shared" si="0"/>
        <v>21400.689655172413</v>
      </c>
      <c r="E21" s="50">
        <f>'ФОТ '!Q22</f>
        <v>1.3879026160634396</v>
      </c>
      <c r="I21" s="307"/>
    </row>
    <row r="22" spans="1:9" ht="13.5" hidden="1" thickBot="1" x14ac:dyDescent="0.25">
      <c r="A22" s="301"/>
      <c r="B22" s="302"/>
      <c r="C22" s="303"/>
      <c r="D22" s="304"/>
      <c r="E22" s="305"/>
    </row>
    <row r="23" spans="1:9" ht="13.5" hidden="1" thickBot="1" x14ac:dyDescent="0.25">
      <c r="A23" s="301"/>
      <c r="B23" s="302"/>
      <c r="C23" s="303"/>
      <c r="D23" s="304"/>
      <c r="E23" s="305"/>
    </row>
    <row r="24" spans="1:9" x14ac:dyDescent="0.2">
      <c r="A24" s="779" t="s">
        <v>121</v>
      </c>
      <c r="B24" s="232" t="s">
        <v>0</v>
      </c>
      <c r="C24" s="222">
        <f>'Разд 3-4'!D6</f>
        <v>121200</v>
      </c>
      <c r="D24" s="228">
        <f t="shared" si="0"/>
        <v>10100</v>
      </c>
      <c r="E24" s="51">
        <f>'Разд 3-4'!G6</f>
        <v>0.60463111515528833</v>
      </c>
    </row>
    <row r="25" spans="1:9" x14ac:dyDescent="0.2">
      <c r="A25" s="780"/>
      <c r="B25" s="233" t="s">
        <v>49</v>
      </c>
      <c r="C25" s="219">
        <f>'Разд 3-4'!D7</f>
        <v>221800</v>
      </c>
      <c r="D25" s="229">
        <f t="shared" si="0"/>
        <v>18483.333333333332</v>
      </c>
      <c r="E25" s="52">
        <f>'Разд 3-4'!G7</f>
        <v>1.10649489555646</v>
      </c>
    </row>
    <row r="26" spans="1:9" x14ac:dyDescent="0.2">
      <c r="A26" s="780"/>
      <c r="B26" s="233" t="s">
        <v>9</v>
      </c>
      <c r="C26" s="219">
        <f>'Разд 3-4'!D8</f>
        <v>530517.24137931038</v>
      </c>
      <c r="D26" s="229">
        <f t="shared" si="0"/>
        <v>44209.770114942534</v>
      </c>
      <c r="E26" s="52">
        <f>'Разд 3-4'!G8</f>
        <v>2.6465943173620441</v>
      </c>
    </row>
    <row r="27" spans="1:9" ht="13.5" thickBot="1" x14ac:dyDescent="0.25">
      <c r="A27" s="781"/>
      <c r="B27" s="234" t="s">
        <v>34</v>
      </c>
      <c r="C27" s="223">
        <f>'Разд 3-4'!D9</f>
        <v>34000</v>
      </c>
      <c r="D27" s="230">
        <f t="shared" si="0"/>
        <v>2833.3333333333335</v>
      </c>
      <c r="E27" s="53">
        <f>'Разд 3-4'!G9</f>
        <v>0.16961598939999839</v>
      </c>
    </row>
    <row r="28" spans="1:9" ht="42.75" thickBot="1" x14ac:dyDescent="0.25">
      <c r="A28" s="364" t="s">
        <v>89</v>
      </c>
      <c r="B28" s="235" t="s">
        <v>280</v>
      </c>
      <c r="C28" s="224">
        <f>'Разд 3-4'!D39+3800</f>
        <v>16300</v>
      </c>
      <c r="D28" s="231">
        <f t="shared" si="0"/>
        <v>1358.3333333333333</v>
      </c>
      <c r="E28" s="54">
        <f>'Разд 3-4'!G39+0.1</f>
        <v>0.42802200109165722</v>
      </c>
    </row>
    <row r="29" spans="1:9" ht="24" x14ac:dyDescent="0.2">
      <c r="A29" s="782" t="s">
        <v>135</v>
      </c>
      <c r="B29" s="232" t="s">
        <v>54</v>
      </c>
      <c r="C29" s="222">
        <f>'Разд 5-7'!E5</f>
        <v>94500</v>
      </c>
      <c r="D29" s="228">
        <f t="shared" si="0"/>
        <v>7875</v>
      </c>
      <c r="E29" s="51">
        <f>'Разд 5-7'!H5</f>
        <v>0.57051987944824389</v>
      </c>
    </row>
    <row r="30" spans="1:9" ht="19.5" customHeight="1" thickBot="1" x14ac:dyDescent="0.25">
      <c r="A30" s="783"/>
      <c r="B30" s="234" t="s">
        <v>64</v>
      </c>
      <c r="C30" s="223">
        <f>'Разд 5-7'!E6</f>
        <v>6000</v>
      </c>
      <c r="D30" s="230">
        <f t="shared" si="0"/>
        <v>500</v>
      </c>
      <c r="E30" s="53">
        <f>'Разд 5-7'!H6</f>
        <v>0.17234247897421756</v>
      </c>
    </row>
    <row r="31" spans="1:9" ht="21.75" thickBot="1" x14ac:dyDescent="0.25">
      <c r="A31" s="363" t="s">
        <v>136</v>
      </c>
      <c r="B31" s="236" t="s">
        <v>65</v>
      </c>
      <c r="C31" s="225">
        <f>'Разд 5-7'!D21</f>
        <v>45000</v>
      </c>
      <c r="D31" s="231">
        <f>C31/12</f>
        <v>3750</v>
      </c>
      <c r="E31" s="54">
        <f>'Разд 5-7'!G22</f>
        <v>0.35285483081787045</v>
      </c>
    </row>
    <row r="32" spans="1:9" ht="23.25" customHeight="1" x14ac:dyDescent="0.2">
      <c r="A32" s="770" t="s">
        <v>125</v>
      </c>
      <c r="B32" s="535" t="str">
        <f>'Разд 5-7'!C25</f>
        <v>Доплата вознаграждения члену Правления ТСЖ от дома №47</v>
      </c>
      <c r="C32" s="469">
        <f>'Разд 5-7'!D25</f>
        <v>27391.200000000001</v>
      </c>
      <c r="D32" s="470">
        <f>'Разд 5-7'!E25</f>
        <v>2020</v>
      </c>
      <c r="E32" s="471">
        <f>'Разд 5-7'!G25</f>
        <v>1.1300000000000001</v>
      </c>
      <c r="F32" s="367"/>
    </row>
    <row r="33" spans="1:5" x14ac:dyDescent="0.2">
      <c r="A33" s="770"/>
      <c r="B33" s="472" t="s">
        <v>190</v>
      </c>
      <c r="C33" s="468">
        <f>'Разд 5-7'!D26</f>
        <v>4000</v>
      </c>
      <c r="D33" s="536">
        <f t="shared" ref="D33:D40" si="1">C33/12</f>
        <v>333.33333333333331</v>
      </c>
      <c r="E33" s="471">
        <f>'Разд 5-7'!G26</f>
        <v>0.13115098100933795</v>
      </c>
    </row>
    <row r="34" spans="1:5" x14ac:dyDescent="0.2">
      <c r="A34" s="770"/>
      <c r="B34" s="473" t="s">
        <v>191</v>
      </c>
      <c r="C34" s="468">
        <f>'Разд 5-7'!D27</f>
        <v>3500</v>
      </c>
      <c r="D34" s="536">
        <f t="shared" si="1"/>
        <v>291.66666666666669</v>
      </c>
      <c r="E34" s="685">
        <f>'Разд 5-7'!G27</f>
        <v>0.10054004366310466</v>
      </c>
    </row>
    <row r="35" spans="1:5" x14ac:dyDescent="0.2">
      <c r="A35" s="770"/>
      <c r="B35" s="473" t="s">
        <v>192</v>
      </c>
      <c r="C35" s="468">
        <f>'Разд 5-7'!D28</f>
        <v>3000</v>
      </c>
      <c r="D35" s="536">
        <f t="shared" si="1"/>
        <v>250</v>
      </c>
      <c r="E35" s="685">
        <f>'Разд 5-7'!G28</f>
        <v>0.1492448212047042</v>
      </c>
    </row>
    <row r="36" spans="1:5" x14ac:dyDescent="0.2">
      <c r="A36" s="770"/>
      <c r="B36" s="473" t="s">
        <v>193</v>
      </c>
      <c r="C36" s="468">
        <f>'Разд 5-7'!D29</f>
        <v>3000</v>
      </c>
      <c r="D36" s="536">
        <f t="shared" si="1"/>
        <v>250</v>
      </c>
      <c r="E36" s="685">
        <f>'Разд 5-7'!G29</f>
        <v>0.17180949762902895</v>
      </c>
    </row>
    <row r="37" spans="1:5" x14ac:dyDescent="0.2">
      <c r="A37" s="770"/>
      <c r="B37" s="473" t="s">
        <v>194</v>
      </c>
      <c r="C37" s="468">
        <f>'Разд 5-7'!D30</f>
        <v>2500</v>
      </c>
      <c r="D37" s="536">
        <f t="shared" si="1"/>
        <v>208.33333333333334</v>
      </c>
      <c r="E37" s="685">
        <f>'Разд 5-7'!G30</f>
        <v>0.22657241254304875</v>
      </c>
    </row>
    <row r="38" spans="1:5" x14ac:dyDescent="0.2">
      <c r="A38" s="770"/>
      <c r="B38" s="473" t="s">
        <v>195</v>
      </c>
      <c r="C38" s="468">
        <f>'Разд 5-7'!D31</f>
        <v>3000</v>
      </c>
      <c r="D38" s="536">
        <f t="shared" si="1"/>
        <v>250</v>
      </c>
      <c r="E38" s="685">
        <f>'Разд 5-7'!G31</f>
        <v>0.14644719114287388</v>
      </c>
    </row>
    <row r="39" spans="1:5" x14ac:dyDescent="0.2">
      <c r="A39" s="770"/>
      <c r="B39" s="473" t="s">
        <v>196</v>
      </c>
      <c r="C39" s="468">
        <f>'Разд 5-7'!D32</f>
        <v>3000</v>
      </c>
      <c r="D39" s="536">
        <f t="shared" si="1"/>
        <v>250</v>
      </c>
      <c r="E39" s="685">
        <f>'Разд 5-7'!G32</f>
        <v>0.16498383158450472</v>
      </c>
    </row>
    <row r="40" spans="1:5" x14ac:dyDescent="0.2">
      <c r="A40" s="770"/>
      <c r="B40" s="473" t="s">
        <v>197</v>
      </c>
      <c r="C40" s="468">
        <f>'Разд 5-7'!D33</f>
        <v>2500</v>
      </c>
      <c r="D40" s="536">
        <f t="shared" si="1"/>
        <v>208.33333333333334</v>
      </c>
      <c r="E40" s="685">
        <f>'Разд 5-7'!G33</f>
        <v>0.25596920178564114</v>
      </c>
    </row>
    <row r="41" spans="1:5" x14ac:dyDescent="0.2">
      <c r="A41" s="770"/>
      <c r="B41" s="474" t="s">
        <v>220</v>
      </c>
      <c r="C41" s="475">
        <f>SUM(C32:C40)</f>
        <v>51891.199999999997</v>
      </c>
      <c r="D41" s="537"/>
      <c r="E41" s="686"/>
    </row>
    <row r="42" spans="1:5" x14ac:dyDescent="0.2">
      <c r="A42" s="770"/>
      <c r="B42" s="358" t="s">
        <v>218</v>
      </c>
      <c r="C42" s="369"/>
      <c r="D42" s="538"/>
      <c r="E42" s="687"/>
    </row>
    <row r="43" spans="1:5" x14ac:dyDescent="0.2">
      <c r="A43" s="770"/>
      <c r="B43" s="473" t="s">
        <v>198</v>
      </c>
      <c r="C43" s="369">
        <f>'Разд 5-7'!D36</f>
        <v>4000</v>
      </c>
      <c r="D43" s="539">
        <f t="shared" ref="D43:D49" si="2">C43/12</f>
        <v>333.33333333333331</v>
      </c>
      <c r="E43" s="688">
        <f>'Разд 5-7'!G36</f>
        <v>0.6025548324897565</v>
      </c>
    </row>
    <row r="44" spans="1:5" x14ac:dyDescent="0.2">
      <c r="A44" s="770"/>
      <c r="B44" s="473" t="s">
        <v>199</v>
      </c>
      <c r="C44" s="369">
        <f>'Разд 5-7'!D37</f>
        <v>3000</v>
      </c>
      <c r="D44" s="540">
        <f t="shared" si="2"/>
        <v>250</v>
      </c>
      <c r="E44" s="688">
        <f>'Разд 5-7'!G37</f>
        <v>0.49485352335708632</v>
      </c>
    </row>
    <row r="45" spans="1:5" x14ac:dyDescent="0.2">
      <c r="A45" s="770"/>
      <c r="B45" s="473" t="s">
        <v>200</v>
      </c>
      <c r="C45" s="369">
        <f>'Разд 5-7'!D38</f>
        <v>3000</v>
      </c>
      <c r="D45" s="540">
        <f t="shared" si="2"/>
        <v>250</v>
      </c>
      <c r="E45" s="688">
        <f>'Разд 5-7'!G38</f>
        <v>0.4925137903861308</v>
      </c>
    </row>
    <row r="46" spans="1:5" x14ac:dyDescent="0.2">
      <c r="A46" s="770"/>
      <c r="B46" s="473" t="s">
        <v>201</v>
      </c>
      <c r="C46" s="369">
        <f>'Разд 5-7'!D39</f>
        <v>2500</v>
      </c>
      <c r="D46" s="539">
        <f t="shared" si="2"/>
        <v>208.33333333333334</v>
      </c>
      <c r="E46" s="688">
        <f>'Разд 5-7'!G39</f>
        <v>0.6880228974020256</v>
      </c>
    </row>
    <row r="47" spans="1:5" x14ac:dyDescent="0.2">
      <c r="A47" s="365"/>
      <c r="B47" s="473" t="s">
        <v>202</v>
      </c>
      <c r="C47" s="369">
        <f>'Разд 5-7'!D40</f>
        <v>3000</v>
      </c>
      <c r="D47" s="540">
        <f t="shared" si="2"/>
        <v>250</v>
      </c>
      <c r="E47" s="688">
        <f>'Разд 5-7'!G40</f>
        <v>0.49603174603174605</v>
      </c>
    </row>
    <row r="48" spans="1:5" x14ac:dyDescent="0.2">
      <c r="A48" s="365"/>
      <c r="B48" s="473" t="s">
        <v>204</v>
      </c>
      <c r="C48" s="369">
        <f>'Разд 5-7'!D41</f>
        <v>3000</v>
      </c>
      <c r="D48" s="540">
        <f t="shared" si="2"/>
        <v>250</v>
      </c>
      <c r="E48" s="688">
        <f>'Разд 5-7'!G41</f>
        <v>0.49534376857539136</v>
      </c>
    </row>
    <row r="49" spans="1:6" x14ac:dyDescent="0.2">
      <c r="A49" s="366"/>
      <c r="B49" s="473" t="s">
        <v>203</v>
      </c>
      <c r="C49" s="369">
        <f>'Разд 5-7'!D42</f>
        <v>2500</v>
      </c>
      <c r="D49" s="539">
        <f t="shared" si="2"/>
        <v>208.33333333333334</v>
      </c>
      <c r="E49" s="688">
        <f>'Разд 5-7'!G42</f>
        <v>0.69887062506988695</v>
      </c>
    </row>
    <row r="50" spans="1:6" ht="17.25" customHeight="1" thickBot="1" x14ac:dyDescent="0.25">
      <c r="A50" s="368"/>
      <c r="B50" s="476" t="s">
        <v>219</v>
      </c>
      <c r="C50" s="477">
        <f>SUM(C43:C49)</f>
        <v>21000</v>
      </c>
      <c r="D50" s="476"/>
      <c r="E50" s="689"/>
    </row>
    <row r="51" spans="1:6" ht="28.5" customHeight="1" x14ac:dyDescent="0.2">
      <c r="A51" s="767" t="s">
        <v>137</v>
      </c>
      <c r="B51" s="541" t="str">
        <f>'Разд 8'!C6</f>
        <v>Обслуживание систем пожарной сигнализации в подъездах домов №№ 1, 3-48</v>
      </c>
      <c r="C51" s="359">
        <f>'Разд 8'!D6</f>
        <v>60840</v>
      </c>
      <c r="D51" s="360">
        <f t="shared" ref="D51:D58" si="3">C51/12</f>
        <v>5070</v>
      </c>
      <c r="E51" s="361">
        <f>'Разд 8'!G6</f>
        <v>0.50944021864732059</v>
      </c>
      <c r="F51" s="161"/>
    </row>
    <row r="52" spans="1:6" x14ac:dyDescent="0.2">
      <c r="A52" s="768"/>
      <c r="B52" s="542" t="s">
        <v>154</v>
      </c>
      <c r="C52" s="216">
        <f>'Разд 8'!D17</f>
        <v>24400</v>
      </c>
      <c r="D52" s="295">
        <f t="shared" si="3"/>
        <v>2033.3333333333333</v>
      </c>
      <c r="E52" s="162">
        <f>'Разд 8'!G17</f>
        <v>3.6755844781875151</v>
      </c>
      <c r="F52" s="161"/>
    </row>
    <row r="53" spans="1:6" x14ac:dyDescent="0.2">
      <c r="A53" s="768"/>
      <c r="B53" s="542" t="s">
        <v>155</v>
      </c>
      <c r="C53" s="216">
        <f>'Разд 8'!D22</f>
        <v>88635</v>
      </c>
      <c r="D53" s="295">
        <f t="shared" si="3"/>
        <v>7386.25</v>
      </c>
      <c r="E53" s="162">
        <f>'Разд 8'!G22</f>
        <v>14.620447347585115</v>
      </c>
      <c r="F53" s="161"/>
    </row>
    <row r="54" spans="1:6" x14ac:dyDescent="0.2">
      <c r="A54" s="768"/>
      <c r="B54" s="542" t="s">
        <v>156</v>
      </c>
      <c r="C54" s="216">
        <f>'Разд 8'!D27</f>
        <v>85019</v>
      </c>
      <c r="D54" s="295">
        <f t="shared" si="3"/>
        <v>7084.916666666667</v>
      </c>
      <c r="E54" s="162">
        <f>'Разд 8'!G27</f>
        <v>13.957676648279485</v>
      </c>
      <c r="F54" s="161"/>
    </row>
    <row r="55" spans="1:6" x14ac:dyDescent="0.2">
      <c r="A55" s="768"/>
      <c r="B55" s="542" t="s">
        <v>160</v>
      </c>
      <c r="C55" s="216">
        <f>'Разд 8'!D32</f>
        <v>37610</v>
      </c>
      <c r="D55" s="295">
        <f t="shared" si="3"/>
        <v>3134.1666666666665</v>
      </c>
      <c r="E55" s="162">
        <f>'Разд 8'!G32</f>
        <v>10.350616468516071</v>
      </c>
      <c r="F55" s="161"/>
    </row>
    <row r="56" spans="1:6" x14ac:dyDescent="0.2">
      <c r="A56" s="768"/>
      <c r="B56" s="542" t="s">
        <v>157</v>
      </c>
      <c r="C56" s="216">
        <f>'Разд 8'!D37</f>
        <v>47125</v>
      </c>
      <c r="D56" s="295">
        <f t="shared" si="3"/>
        <v>3927.0833333333335</v>
      </c>
      <c r="E56" s="162">
        <f>'Разд 8'!G37</f>
        <v>7.790656715760738</v>
      </c>
      <c r="F56" s="161"/>
    </row>
    <row r="57" spans="1:6" x14ac:dyDescent="0.2">
      <c r="A57" s="768"/>
      <c r="B57" s="542" t="s">
        <v>158</v>
      </c>
      <c r="C57" s="216">
        <f>'Разд 8'!D41</f>
        <v>46000</v>
      </c>
      <c r="D57" s="295">
        <f t="shared" si="3"/>
        <v>3833.3333333333335</v>
      </c>
      <c r="E57" s="162">
        <f>'Разд 8'!G41</f>
        <v>7.5952711181560009</v>
      </c>
      <c r="F57" s="161"/>
    </row>
    <row r="58" spans="1:6" ht="13.5" thickBot="1" x14ac:dyDescent="0.25">
      <c r="A58" s="768"/>
      <c r="B58" s="543" t="s">
        <v>159</v>
      </c>
      <c r="C58" s="544">
        <f>'Разд 8'!D45</f>
        <v>35600</v>
      </c>
      <c r="D58" s="545">
        <f t="shared" si="3"/>
        <v>2966.6666666666665</v>
      </c>
      <c r="E58" s="546">
        <f>'Разд 8'!G45</f>
        <v>9.9519177009951907</v>
      </c>
      <c r="F58" s="163"/>
    </row>
    <row r="59" spans="1:6" ht="13.5" thickBot="1" x14ac:dyDescent="0.25">
      <c r="A59" s="768"/>
      <c r="B59" s="551" t="s">
        <v>187</v>
      </c>
      <c r="C59" s="552">
        <f>SUM(C51:C58)</f>
        <v>425229</v>
      </c>
      <c r="D59" s="553"/>
      <c r="E59" s="690"/>
    </row>
    <row r="60" spans="1:6" ht="24" x14ac:dyDescent="0.2">
      <c r="A60" s="768"/>
      <c r="B60" s="548" t="str">
        <f>'Разд 8'!C7</f>
        <v>Замена аккумулятора СКАТ2400 (управление фрамугами в подъездах д.1)</v>
      </c>
      <c r="C60" s="549">
        <f>'Разд 8'!D7</f>
        <v>5892</v>
      </c>
      <c r="D60" s="550">
        <f>'Разд 8'!E7</f>
        <v>491</v>
      </c>
      <c r="E60" s="691">
        <f>'Разд 8'!G7</f>
        <v>0.22660143991139006</v>
      </c>
    </row>
    <row r="61" spans="1:6" x14ac:dyDescent="0.2">
      <c r="A61" s="768"/>
      <c r="B61" s="547" t="str">
        <f>'Разд 8'!C8</f>
        <v>Замена аккумулятора  ПКП "Магистр" д.3</v>
      </c>
      <c r="C61" s="418">
        <f>'Разд 8'!D8</f>
        <v>1964</v>
      </c>
      <c r="D61" s="419">
        <f>'Разд 8'!E8</f>
        <v>163.66999999999999</v>
      </c>
      <c r="E61" s="692">
        <f>'Разд 8'!G8</f>
        <v>0.11</v>
      </c>
    </row>
    <row r="62" spans="1:6" ht="24" x14ac:dyDescent="0.2">
      <c r="A62" s="768"/>
      <c r="B62" s="547" t="str">
        <f>'Разд 8'!C9</f>
        <v>Замена аккумулятора  СКАТ2400 (управление фрамугами в подъезде д.3/2)</v>
      </c>
      <c r="C62" s="418">
        <f>'Разд 8'!D9</f>
        <v>1964</v>
      </c>
      <c r="D62" s="419">
        <f>'Разд 8'!E9</f>
        <v>163.66999999999999</v>
      </c>
      <c r="E62" s="692">
        <f>'Разд 8'!G9</f>
        <v>0.2</v>
      </c>
    </row>
    <row r="63" spans="1:6" ht="24" x14ac:dyDescent="0.2">
      <c r="A63" s="768"/>
      <c r="B63" s="547" t="str">
        <f>'Разд 8'!C10</f>
        <v>Замена аккумулятора  СКАТ2400 (управление фрамугами в подъездах  д.3)</v>
      </c>
      <c r="C63" s="418">
        <f>'Разд 8'!D10</f>
        <v>3928</v>
      </c>
      <c r="D63" s="419">
        <f>'Разд 8'!E10</f>
        <v>327.33999999999997</v>
      </c>
      <c r="E63" s="692">
        <f>'Разд 8'!G10</f>
        <v>0.22480598859968409</v>
      </c>
    </row>
    <row r="64" spans="1:6" ht="24" x14ac:dyDescent="0.2">
      <c r="A64" s="768"/>
      <c r="B64" s="547" t="str">
        <f>'Разд 8'!C11</f>
        <v>Замена аккумулятора  СКАТ2400 (управление фрамугами в подъездах д.3/1)</v>
      </c>
      <c r="C64" s="418">
        <f>'Разд 8'!D11</f>
        <v>3928</v>
      </c>
      <c r="D64" s="419">
        <f>'Разд 8'!E11</f>
        <v>327.33999999999997</v>
      </c>
      <c r="E64" s="692">
        <f>'Разд 8'!G11</f>
        <v>0.22496048381554531</v>
      </c>
    </row>
    <row r="65" spans="1:6" ht="24.75" thickBot="1" x14ac:dyDescent="0.25">
      <c r="A65" s="768"/>
      <c r="B65" s="554" t="str">
        <f>'Разд 8'!C12</f>
        <v>Замена аккумулятора  СКАТ2400 (управление фрамугами в подъездах д.46)</v>
      </c>
      <c r="C65" s="555">
        <f>'Разд 8'!D12</f>
        <v>3928</v>
      </c>
      <c r="D65" s="556">
        <f>'Разд 8'!E12</f>
        <v>327.33999999999997</v>
      </c>
      <c r="E65" s="693">
        <f>'Разд 8'!G12</f>
        <v>0.19175209419483333</v>
      </c>
    </row>
    <row r="66" spans="1:6" ht="21" customHeight="1" thickBot="1" x14ac:dyDescent="0.25">
      <c r="A66" s="769"/>
      <c r="B66" s="557" t="s">
        <v>187</v>
      </c>
      <c r="C66" s="558">
        <f>SUM(C60:C65)</f>
        <v>21604</v>
      </c>
      <c r="D66" s="559"/>
      <c r="E66" s="694"/>
    </row>
    <row r="67" spans="1:6" x14ac:dyDescent="0.2">
      <c r="A67" s="334"/>
      <c r="B67" s="335"/>
      <c r="C67" s="336"/>
      <c r="D67" s="335"/>
      <c r="E67" s="695"/>
      <c r="F67" s="334"/>
    </row>
    <row r="68" spans="1:6" x14ac:dyDescent="0.2">
      <c r="A68" s="334"/>
      <c r="B68" s="335"/>
      <c r="C68" s="336"/>
      <c r="D68" s="335"/>
      <c r="E68" s="695"/>
    </row>
    <row r="69" spans="1:6" x14ac:dyDescent="0.2">
      <c r="A69" s="334"/>
      <c r="B69" s="335"/>
      <c r="C69" s="335"/>
      <c r="D69" s="335"/>
      <c r="E69" s="696"/>
    </row>
    <row r="73" spans="1:6" x14ac:dyDescent="0.2">
      <c r="B73" s="334"/>
    </row>
  </sheetData>
  <mergeCells count="7">
    <mergeCell ref="A51:A66"/>
    <mergeCell ref="A32:A46"/>
    <mergeCell ref="A6:B6"/>
    <mergeCell ref="A7:A15"/>
    <mergeCell ref="A16:A21"/>
    <mergeCell ref="A24:A27"/>
    <mergeCell ref="A29:A30"/>
  </mergeCells>
  <pageMargins left="0.70866141732283472" right="0.39370078740157483" top="0" bottom="0" header="0" footer="0"/>
  <pageSetup paperSize="9" scale="70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8"/>
  <sheetViews>
    <sheetView tabSelected="1" zoomScale="78" zoomScaleNormal="78" workbookViewId="0">
      <selection activeCell="N15" sqref="N15"/>
    </sheetView>
  </sheetViews>
  <sheetFormatPr defaultRowHeight="12.75" x14ac:dyDescent="0.2"/>
  <cols>
    <col min="1" max="1" width="6" customWidth="1"/>
    <col min="2" max="2" width="25.42578125" customWidth="1"/>
  </cols>
  <sheetData>
    <row r="1" spans="1:21" ht="15.75" x14ac:dyDescent="0.25">
      <c r="A1" s="64" t="s">
        <v>189</v>
      </c>
      <c r="B1" s="14"/>
      <c r="C1" s="14"/>
      <c r="D1" s="14"/>
      <c r="E1" s="14"/>
      <c r="F1" s="14"/>
      <c r="H1" s="69"/>
      <c r="I1" s="4"/>
      <c r="J1" s="4"/>
      <c r="K1" s="4"/>
      <c r="L1" s="4"/>
      <c r="M1" s="329" t="s">
        <v>118</v>
      </c>
      <c r="N1" s="330"/>
      <c r="O1" s="330"/>
      <c r="P1" s="330"/>
      <c r="Q1" s="331"/>
      <c r="R1" s="70"/>
      <c r="S1" s="70"/>
      <c r="T1" s="4"/>
      <c r="U1" s="4"/>
    </row>
    <row r="2" spans="1:21" ht="14.25" x14ac:dyDescent="0.2">
      <c r="A2" s="5" t="s">
        <v>72</v>
      </c>
      <c r="B2" s="1"/>
      <c r="C2" s="1"/>
      <c r="D2" s="3"/>
      <c r="E2" s="3"/>
      <c r="F2" s="3"/>
      <c r="H2" s="69"/>
      <c r="I2" s="4"/>
      <c r="J2" s="4"/>
      <c r="K2" s="4"/>
      <c r="L2" s="4"/>
      <c r="M2" s="329" t="s">
        <v>226</v>
      </c>
      <c r="N2" s="330"/>
      <c r="O2" s="330"/>
      <c r="P2" s="330"/>
      <c r="Q2" s="331"/>
      <c r="R2" s="70"/>
      <c r="S2" s="70"/>
      <c r="T2" s="4"/>
      <c r="U2" s="4"/>
    </row>
    <row r="3" spans="1:21" ht="14.25" x14ac:dyDescent="0.2">
      <c r="A3" s="98" t="s">
        <v>77</v>
      </c>
      <c r="C3" s="6"/>
      <c r="D3" s="6"/>
      <c r="E3" s="6"/>
      <c r="F3" s="3"/>
      <c r="G3" s="3"/>
      <c r="H3" s="4"/>
      <c r="I3" s="4"/>
      <c r="J3" s="4"/>
      <c r="K3" s="4"/>
      <c r="L3" s="4"/>
      <c r="M3" s="332"/>
      <c r="N3" s="330"/>
      <c r="O3" s="333"/>
      <c r="P3" s="330"/>
      <c r="Q3" s="333"/>
      <c r="R3" s="4"/>
      <c r="S3" s="4"/>
      <c r="T3" s="4"/>
      <c r="U3" s="4"/>
    </row>
    <row r="4" spans="1:21" ht="16.5" thickBot="1" x14ac:dyDescent="0.3">
      <c r="A4" s="16"/>
      <c r="B4" s="13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8"/>
      <c r="T4" s="15"/>
      <c r="U4" s="15"/>
    </row>
    <row r="5" spans="1:21" ht="16.5" thickBot="1" x14ac:dyDescent="0.3">
      <c r="A5" s="16"/>
      <c r="B5" s="14"/>
      <c r="C5" s="786" t="s">
        <v>38</v>
      </c>
      <c r="D5" s="787"/>
      <c r="E5" s="788"/>
      <c r="F5" s="798" t="s">
        <v>45</v>
      </c>
      <c r="G5" s="799"/>
      <c r="H5" s="786" t="s">
        <v>39</v>
      </c>
      <c r="I5" s="787"/>
      <c r="J5" s="788"/>
      <c r="K5" s="786" t="s">
        <v>40</v>
      </c>
      <c r="L5" s="788"/>
      <c r="M5" s="786" t="s">
        <v>41</v>
      </c>
      <c r="N5" s="787"/>
      <c r="O5" s="788"/>
      <c r="P5" s="786" t="s">
        <v>42</v>
      </c>
      <c r="Q5" s="788"/>
      <c r="R5" s="786" t="s">
        <v>43</v>
      </c>
      <c r="S5" s="787"/>
      <c r="T5" s="786" t="s">
        <v>44</v>
      </c>
      <c r="U5" s="788"/>
    </row>
    <row r="6" spans="1:21" ht="39.75" thickBot="1" x14ac:dyDescent="0.25">
      <c r="A6" s="96" t="s">
        <v>76</v>
      </c>
      <c r="B6" s="124" t="s">
        <v>32</v>
      </c>
      <c r="C6" s="79" t="s">
        <v>50</v>
      </c>
      <c r="D6" s="78" t="s">
        <v>51</v>
      </c>
      <c r="E6" s="85" t="s">
        <v>53</v>
      </c>
      <c r="F6" s="31" t="s">
        <v>50</v>
      </c>
      <c r="G6" s="32" t="s">
        <v>48</v>
      </c>
      <c r="H6" s="79" t="s">
        <v>50</v>
      </c>
      <c r="I6" s="78" t="s">
        <v>51</v>
      </c>
      <c r="J6" s="32" t="s">
        <v>52</v>
      </c>
      <c r="K6" s="79" t="s">
        <v>50</v>
      </c>
      <c r="L6" s="32" t="s">
        <v>51</v>
      </c>
      <c r="M6" s="79" t="s">
        <v>50</v>
      </c>
      <c r="N6" s="78" t="s">
        <v>51</v>
      </c>
      <c r="O6" s="32" t="s">
        <v>52</v>
      </c>
      <c r="P6" s="79" t="s">
        <v>50</v>
      </c>
      <c r="Q6" s="32" t="s">
        <v>51</v>
      </c>
      <c r="R6" s="79" t="s">
        <v>50</v>
      </c>
      <c r="S6" s="78" t="s">
        <v>51</v>
      </c>
      <c r="T6" s="79" t="s">
        <v>50</v>
      </c>
      <c r="U6" s="32" t="s">
        <v>51</v>
      </c>
    </row>
    <row r="7" spans="1:21" ht="28.5" customHeight="1" x14ac:dyDescent="0.2">
      <c r="A7" s="789">
        <v>1</v>
      </c>
      <c r="B7" s="308" t="s">
        <v>33</v>
      </c>
      <c r="C7" s="82">
        <f>'ФОТ '!Q15</f>
        <v>9.7097189205019152</v>
      </c>
      <c r="D7" s="80">
        <f>C7</f>
        <v>9.7097189205019152</v>
      </c>
      <c r="E7" s="86">
        <f>D7</f>
        <v>9.7097189205019152</v>
      </c>
      <c r="F7" s="33">
        <f>E7</f>
        <v>9.7097189205019152</v>
      </c>
      <c r="G7" s="35">
        <f>F7</f>
        <v>9.7097189205019152</v>
      </c>
      <c r="H7" s="33">
        <f>F7</f>
        <v>9.7097189205019152</v>
      </c>
      <c r="I7" s="34">
        <f t="shared" ref="I7:U7" si="0">H7</f>
        <v>9.7097189205019152</v>
      </c>
      <c r="J7" s="35">
        <f t="shared" si="0"/>
        <v>9.7097189205019152</v>
      </c>
      <c r="K7" s="33">
        <f t="shared" si="0"/>
        <v>9.7097189205019152</v>
      </c>
      <c r="L7" s="35">
        <f t="shared" si="0"/>
        <v>9.7097189205019152</v>
      </c>
      <c r="M7" s="33">
        <f>L7</f>
        <v>9.7097189205019152</v>
      </c>
      <c r="N7" s="34">
        <f t="shared" si="0"/>
        <v>9.7097189205019152</v>
      </c>
      <c r="O7" s="35">
        <f t="shared" si="0"/>
        <v>9.7097189205019152</v>
      </c>
      <c r="P7" s="33">
        <f t="shared" si="0"/>
        <v>9.7097189205019152</v>
      </c>
      <c r="Q7" s="35">
        <f t="shared" si="0"/>
        <v>9.7097189205019152</v>
      </c>
      <c r="R7" s="33">
        <f>C7</f>
        <v>9.7097189205019152</v>
      </c>
      <c r="S7" s="125">
        <f t="shared" si="0"/>
        <v>9.7097189205019152</v>
      </c>
      <c r="T7" s="33">
        <f>C7</f>
        <v>9.7097189205019152</v>
      </c>
      <c r="U7" s="35">
        <f t="shared" si="0"/>
        <v>9.7097189205019152</v>
      </c>
    </row>
    <row r="8" spans="1:21" ht="28.5" customHeight="1" thickBot="1" x14ac:dyDescent="0.25">
      <c r="A8" s="790"/>
      <c r="B8" s="309" t="s">
        <v>162</v>
      </c>
      <c r="C8" s="87">
        <f>'Тарифы на отд.виды услуг'!E15</f>
        <v>0.58038514625857063</v>
      </c>
      <c r="D8" s="38">
        <v>0</v>
      </c>
      <c r="E8" s="39">
        <v>0</v>
      </c>
      <c r="F8" s="26">
        <f>C8</f>
        <v>0.58038514625857063</v>
      </c>
      <c r="G8" s="39">
        <v>0</v>
      </c>
      <c r="H8" s="26">
        <f>C8</f>
        <v>0.58038514625857063</v>
      </c>
      <c r="I8" s="38">
        <v>0</v>
      </c>
      <c r="J8" s="39">
        <v>0</v>
      </c>
      <c r="K8" s="26">
        <f>C8</f>
        <v>0.58038514625857063</v>
      </c>
      <c r="L8" s="39">
        <v>0</v>
      </c>
      <c r="M8" s="26">
        <f>C8</f>
        <v>0.58038514625857063</v>
      </c>
      <c r="N8" s="38">
        <v>0</v>
      </c>
      <c r="O8" s="39">
        <v>0</v>
      </c>
      <c r="P8" s="26">
        <f>C8</f>
        <v>0.58038514625857063</v>
      </c>
      <c r="Q8" s="39">
        <v>0</v>
      </c>
      <c r="R8" s="26">
        <f>C8</f>
        <v>0.58038514625857063</v>
      </c>
      <c r="S8" s="126">
        <v>0</v>
      </c>
      <c r="T8" s="26">
        <f>C8</f>
        <v>0.58038514625857063</v>
      </c>
      <c r="U8" s="39">
        <v>0</v>
      </c>
    </row>
    <row r="9" spans="1:21" ht="28.5" customHeight="1" x14ac:dyDescent="0.2">
      <c r="A9" s="791">
        <v>2</v>
      </c>
      <c r="B9" s="310" t="s">
        <v>265</v>
      </c>
      <c r="C9" s="82">
        <f>'Тарифы на отд.виды услуг'!E16</f>
        <v>4.7070034921296005</v>
      </c>
      <c r="D9" s="83">
        <v>0</v>
      </c>
      <c r="E9" s="81">
        <v>0</v>
      </c>
      <c r="F9" s="90">
        <v>0</v>
      </c>
      <c r="G9" s="81">
        <v>0</v>
      </c>
      <c r="H9" s="82">
        <f>C9</f>
        <v>4.7070034921296005</v>
      </c>
      <c r="I9" s="83">
        <v>0</v>
      </c>
      <c r="J9" s="81">
        <v>0</v>
      </c>
      <c r="K9" s="82">
        <f>C9</f>
        <v>4.7070034921296005</v>
      </c>
      <c r="L9" s="81">
        <v>0</v>
      </c>
      <c r="M9" s="82">
        <f>C9</f>
        <v>4.7070034921296005</v>
      </c>
      <c r="N9" s="83">
        <v>0</v>
      </c>
      <c r="O9" s="81">
        <v>0</v>
      </c>
      <c r="P9" s="82">
        <f>C9</f>
        <v>4.7070034921296005</v>
      </c>
      <c r="Q9" s="81">
        <v>0</v>
      </c>
      <c r="R9" s="82">
        <f>C9</f>
        <v>4.7070034921296005</v>
      </c>
      <c r="S9" s="127">
        <v>0</v>
      </c>
      <c r="T9" s="82">
        <f>C9</f>
        <v>4.7070034921296005</v>
      </c>
      <c r="U9" s="81">
        <v>0</v>
      </c>
    </row>
    <row r="10" spans="1:21" ht="28.5" customHeight="1" x14ac:dyDescent="0.2">
      <c r="A10" s="792"/>
      <c r="B10" s="340" t="s">
        <v>264</v>
      </c>
      <c r="C10" s="344"/>
      <c r="D10" s="670">
        <f>'Тарифы на отд.виды услуг'!E17</f>
        <v>1.9436023622047243</v>
      </c>
      <c r="E10" s="671"/>
      <c r="F10" s="344"/>
      <c r="G10" s="671"/>
      <c r="H10" s="344"/>
      <c r="I10" s="670">
        <f>D10</f>
        <v>1.9436023622047243</v>
      </c>
      <c r="J10" s="671"/>
      <c r="K10" s="344"/>
      <c r="L10" s="671">
        <f>D10</f>
        <v>1.9436023622047243</v>
      </c>
      <c r="M10" s="344"/>
      <c r="N10" s="670">
        <f>D10</f>
        <v>1.9436023622047243</v>
      </c>
      <c r="O10" s="671"/>
      <c r="P10" s="344"/>
      <c r="Q10" s="671">
        <f>D10</f>
        <v>1.9436023622047243</v>
      </c>
      <c r="R10" s="344"/>
      <c r="S10" s="672">
        <f>D10</f>
        <v>1.9436023622047243</v>
      </c>
      <c r="T10" s="344"/>
      <c r="U10" s="671">
        <f>D10</f>
        <v>1.9436023622047243</v>
      </c>
    </row>
    <row r="11" spans="1:21" s="149" customFormat="1" ht="28.5" customHeight="1" x14ac:dyDescent="0.2">
      <c r="A11" s="792"/>
      <c r="B11" s="345" t="s">
        <v>262</v>
      </c>
      <c r="C11" s="22">
        <f>'ФОТ '!Q18</f>
        <v>4.7653229519325189</v>
      </c>
      <c r="D11" s="23">
        <f>C11</f>
        <v>4.7653229519325189</v>
      </c>
      <c r="E11" s="24">
        <f>C11</f>
        <v>4.7653229519325189</v>
      </c>
      <c r="F11" s="22">
        <f>'ФОТ '!Q19</f>
        <v>6.1470798448838444</v>
      </c>
      <c r="G11" s="24">
        <f>F11</f>
        <v>6.1470798448838444</v>
      </c>
      <c r="H11" s="22">
        <f>E11</f>
        <v>4.7653229519325189</v>
      </c>
      <c r="I11" s="23">
        <f>C11</f>
        <v>4.7653229519325189</v>
      </c>
      <c r="J11" s="24">
        <f t="shared" ref="J11:Q11" si="1">H11</f>
        <v>4.7653229519325189</v>
      </c>
      <c r="K11" s="22">
        <f t="shared" si="1"/>
        <v>4.7653229519325189</v>
      </c>
      <c r="L11" s="24">
        <f t="shared" si="1"/>
        <v>4.7653229519325189</v>
      </c>
      <c r="M11" s="22">
        <f>L11</f>
        <v>4.7653229519325189</v>
      </c>
      <c r="N11" s="23">
        <f>I11</f>
        <v>4.7653229519325189</v>
      </c>
      <c r="O11" s="24">
        <f t="shared" si="1"/>
        <v>4.7653229519325189</v>
      </c>
      <c r="P11" s="22">
        <f t="shared" si="1"/>
        <v>4.7653229519325189</v>
      </c>
      <c r="Q11" s="24">
        <f t="shared" si="1"/>
        <v>4.7653229519325189</v>
      </c>
      <c r="R11" s="22">
        <f>Q11</f>
        <v>4.7653229519325189</v>
      </c>
      <c r="S11" s="128">
        <f>C11</f>
        <v>4.7653229519325189</v>
      </c>
      <c r="T11" s="22">
        <f>S11</f>
        <v>4.7653229519325189</v>
      </c>
      <c r="U11" s="24">
        <f>C11</f>
        <v>4.7653229519325189</v>
      </c>
    </row>
    <row r="12" spans="1:21" s="149" customFormat="1" ht="28.5" customHeight="1" x14ac:dyDescent="0.2">
      <c r="A12" s="792"/>
      <c r="B12" s="346" t="s">
        <v>263</v>
      </c>
      <c r="C12" s="347"/>
      <c r="D12" s="25">
        <f>'Тарифы на отд.виды услуг'!E19</f>
        <v>2.7210433070866142</v>
      </c>
      <c r="E12" s="91"/>
      <c r="F12" s="347"/>
      <c r="G12" s="91"/>
      <c r="H12" s="347"/>
      <c r="I12" s="25">
        <f>D12</f>
        <v>2.7210433070866142</v>
      </c>
      <c r="J12" s="91"/>
      <c r="K12" s="347"/>
      <c r="L12" s="91">
        <f>I12</f>
        <v>2.7210433070866142</v>
      </c>
      <c r="M12" s="347"/>
      <c r="N12" s="25">
        <f>L12</f>
        <v>2.7210433070866142</v>
      </c>
      <c r="O12" s="91"/>
      <c r="P12" s="347"/>
      <c r="Q12" s="91">
        <f>D12</f>
        <v>2.7210433070866142</v>
      </c>
      <c r="R12" s="347"/>
      <c r="S12" s="129">
        <f>D12</f>
        <v>2.7210433070866142</v>
      </c>
      <c r="T12" s="347"/>
      <c r="U12" s="91">
        <f>D12</f>
        <v>2.7210433070866142</v>
      </c>
    </row>
    <row r="13" spans="1:21" ht="28.5" customHeight="1" thickBot="1" x14ac:dyDescent="0.25">
      <c r="A13" s="793"/>
      <c r="B13" s="309" t="s">
        <v>266</v>
      </c>
      <c r="C13" s="88">
        <f>'Тарифы на отд.виды услуг'!E21</f>
        <v>1.3879026160634396</v>
      </c>
      <c r="D13" s="77">
        <f>C13</f>
        <v>1.3879026160634396</v>
      </c>
      <c r="E13" s="28">
        <f>D13</f>
        <v>1.3879026160634396</v>
      </c>
      <c r="F13" s="26">
        <f t="shared" ref="F13:U13" si="2">E13</f>
        <v>1.3879026160634396</v>
      </c>
      <c r="G13" s="28">
        <f>F13</f>
        <v>1.3879026160634396</v>
      </c>
      <c r="H13" s="26">
        <f>F13</f>
        <v>1.3879026160634396</v>
      </c>
      <c r="I13" s="27">
        <f t="shared" si="2"/>
        <v>1.3879026160634396</v>
      </c>
      <c r="J13" s="28">
        <f t="shared" si="2"/>
        <v>1.3879026160634396</v>
      </c>
      <c r="K13" s="26">
        <f t="shared" si="2"/>
        <v>1.3879026160634396</v>
      </c>
      <c r="L13" s="28">
        <f t="shared" si="2"/>
        <v>1.3879026160634396</v>
      </c>
      <c r="M13" s="26">
        <f>H13</f>
        <v>1.3879026160634396</v>
      </c>
      <c r="N13" s="27">
        <f t="shared" si="2"/>
        <v>1.3879026160634396</v>
      </c>
      <c r="O13" s="28">
        <f t="shared" si="2"/>
        <v>1.3879026160634396</v>
      </c>
      <c r="P13" s="26">
        <f t="shared" si="2"/>
        <v>1.3879026160634396</v>
      </c>
      <c r="Q13" s="28">
        <f t="shared" si="2"/>
        <v>1.3879026160634396</v>
      </c>
      <c r="R13" s="26">
        <f>C13</f>
        <v>1.3879026160634396</v>
      </c>
      <c r="S13" s="130">
        <f t="shared" si="2"/>
        <v>1.3879026160634396</v>
      </c>
      <c r="T13" s="26">
        <f>C13</f>
        <v>1.3879026160634396</v>
      </c>
      <c r="U13" s="28">
        <f t="shared" si="2"/>
        <v>1.3879026160634396</v>
      </c>
    </row>
    <row r="14" spans="1:21" ht="32.25" thickBot="1" x14ac:dyDescent="0.25">
      <c r="A14" s="19">
        <v>3</v>
      </c>
      <c r="B14" s="311" t="s">
        <v>163</v>
      </c>
      <c r="C14" s="89">
        <f>'Разд 3-4'!G10</f>
        <v>4.5273363174737913</v>
      </c>
      <c r="D14" s="84">
        <f>C14</f>
        <v>4.5273363174737913</v>
      </c>
      <c r="E14" s="41">
        <f>D$14</f>
        <v>4.5273363174737913</v>
      </c>
      <c r="F14" s="20">
        <f t="shared" ref="F14:U14" si="3">E$14</f>
        <v>4.5273363174737913</v>
      </c>
      <c r="G14" s="41">
        <f>F14</f>
        <v>4.5273363174737913</v>
      </c>
      <c r="H14" s="20">
        <f>F$14</f>
        <v>4.5273363174737913</v>
      </c>
      <c r="I14" s="21">
        <f t="shared" si="3"/>
        <v>4.5273363174737913</v>
      </c>
      <c r="J14" s="41">
        <f t="shared" si="3"/>
        <v>4.5273363174737913</v>
      </c>
      <c r="K14" s="20">
        <f t="shared" si="3"/>
        <v>4.5273363174737913</v>
      </c>
      <c r="L14" s="41">
        <f t="shared" si="3"/>
        <v>4.5273363174737913</v>
      </c>
      <c r="M14" s="20">
        <f>C14</f>
        <v>4.5273363174737913</v>
      </c>
      <c r="N14" s="21">
        <f t="shared" si="3"/>
        <v>4.5273363174737913</v>
      </c>
      <c r="O14" s="41">
        <f t="shared" si="3"/>
        <v>4.5273363174737913</v>
      </c>
      <c r="P14" s="20">
        <f t="shared" si="3"/>
        <v>4.5273363174737913</v>
      </c>
      <c r="Q14" s="41">
        <f t="shared" si="3"/>
        <v>4.5273363174737913</v>
      </c>
      <c r="R14" s="20">
        <f>C14</f>
        <v>4.5273363174737913</v>
      </c>
      <c r="S14" s="131">
        <f t="shared" si="3"/>
        <v>4.5273363174737913</v>
      </c>
      <c r="T14" s="20">
        <f>C14</f>
        <v>4.5273363174737913</v>
      </c>
      <c r="U14" s="41">
        <f t="shared" si="3"/>
        <v>4.5273363174737913</v>
      </c>
    </row>
    <row r="15" spans="1:21" ht="45" customHeight="1" thickBot="1" x14ac:dyDescent="0.25">
      <c r="A15" s="117">
        <v>4</v>
      </c>
      <c r="B15" s="311" t="s">
        <v>164</v>
      </c>
      <c r="C15" s="94">
        <v>0</v>
      </c>
      <c r="D15" s="80">
        <f>'Разд 3-4'!G41</f>
        <v>0.42774173909392454</v>
      </c>
      <c r="E15" s="81">
        <v>0</v>
      </c>
      <c r="F15" s="90">
        <v>0</v>
      </c>
      <c r="G15" s="81">
        <f>F15</f>
        <v>0</v>
      </c>
      <c r="H15" s="90">
        <v>0</v>
      </c>
      <c r="I15" s="80">
        <f>D15</f>
        <v>0.42774173909392454</v>
      </c>
      <c r="J15" s="81">
        <v>0</v>
      </c>
      <c r="K15" s="90">
        <v>0</v>
      </c>
      <c r="L15" s="86">
        <f>I15</f>
        <v>0.42774173909392454</v>
      </c>
      <c r="M15" s="90">
        <v>0</v>
      </c>
      <c r="N15" s="80">
        <f>D15</f>
        <v>0.42774173909392454</v>
      </c>
      <c r="O15" s="81">
        <v>0</v>
      </c>
      <c r="P15" s="90">
        <v>0</v>
      </c>
      <c r="Q15" s="86">
        <f>D15</f>
        <v>0.42774173909392454</v>
      </c>
      <c r="R15" s="90">
        <v>0</v>
      </c>
      <c r="S15" s="132">
        <f>D15</f>
        <v>0.42774173909392454</v>
      </c>
      <c r="T15" s="90">
        <v>0</v>
      </c>
      <c r="U15" s="86">
        <f>D15</f>
        <v>0.42774173909392454</v>
      </c>
    </row>
    <row r="16" spans="1:21" ht="32.25" thickBot="1" x14ac:dyDescent="0.25">
      <c r="A16" s="95">
        <v>5</v>
      </c>
      <c r="B16" s="311" t="s">
        <v>58</v>
      </c>
      <c r="C16" s="89">
        <f>'Разд 5-7'!H5</f>
        <v>0.57051987944824389</v>
      </c>
      <c r="D16" s="21">
        <f>C16</f>
        <v>0.57051987944824389</v>
      </c>
      <c r="E16" s="41">
        <f>C16</f>
        <v>0.57051987944824389</v>
      </c>
      <c r="F16" s="20">
        <f>'Разд 5-7'!H6</f>
        <v>0.17234247897421756</v>
      </c>
      <c r="G16" s="41">
        <f>F16</f>
        <v>0.17234247897421756</v>
      </c>
      <c r="H16" s="20">
        <f>C16</f>
        <v>0.57051987944824389</v>
      </c>
      <c r="I16" s="21">
        <f>C16</f>
        <v>0.57051987944824389</v>
      </c>
      <c r="J16" s="41">
        <f>D16</f>
        <v>0.57051987944824389</v>
      </c>
      <c r="K16" s="20">
        <f>E16</f>
        <v>0.57051987944824389</v>
      </c>
      <c r="L16" s="41">
        <f>C16</f>
        <v>0.57051987944824389</v>
      </c>
      <c r="M16" s="20">
        <f>I16</f>
        <v>0.57051987944824389</v>
      </c>
      <c r="N16" s="21">
        <f>J16</f>
        <v>0.57051987944824389</v>
      </c>
      <c r="O16" s="41">
        <f>K16</f>
        <v>0.57051987944824389</v>
      </c>
      <c r="P16" s="20">
        <f>L16</f>
        <v>0.57051987944824389</v>
      </c>
      <c r="Q16" s="41">
        <f>C16</f>
        <v>0.57051987944824389</v>
      </c>
      <c r="R16" s="20">
        <f>N16</f>
        <v>0.57051987944824389</v>
      </c>
      <c r="S16" s="131">
        <f>O16</f>
        <v>0.57051987944824389</v>
      </c>
      <c r="T16" s="20">
        <f>Q16</f>
        <v>0.57051987944824389</v>
      </c>
      <c r="U16" s="41">
        <f>C16</f>
        <v>0.57051987944824389</v>
      </c>
    </row>
    <row r="17" spans="1:22" ht="16.5" thickBot="1" x14ac:dyDescent="0.25">
      <c r="A17" s="123">
        <v>6</v>
      </c>
      <c r="B17" s="312" t="s">
        <v>31</v>
      </c>
      <c r="C17" s="92">
        <f>'Разд 5-7'!G22</f>
        <v>0.35285483081787045</v>
      </c>
      <c r="D17" s="93">
        <v>0</v>
      </c>
      <c r="E17" s="37">
        <f>C17</f>
        <v>0.35285483081787045</v>
      </c>
      <c r="F17" s="75">
        <v>0</v>
      </c>
      <c r="G17" s="76">
        <v>0</v>
      </c>
      <c r="H17" s="36">
        <f>C17</f>
        <v>0.35285483081787045</v>
      </c>
      <c r="I17" s="93">
        <v>0</v>
      </c>
      <c r="J17" s="37">
        <f>E17</f>
        <v>0.35285483081787045</v>
      </c>
      <c r="K17" s="36">
        <f>C17</f>
        <v>0.35285483081787045</v>
      </c>
      <c r="L17" s="76">
        <v>0</v>
      </c>
      <c r="M17" s="36">
        <f>C17</f>
        <v>0.35285483081787045</v>
      </c>
      <c r="N17" s="93">
        <v>0</v>
      </c>
      <c r="O17" s="37">
        <f>H17</f>
        <v>0.35285483081787045</v>
      </c>
      <c r="P17" s="36">
        <f>C17</f>
        <v>0.35285483081787045</v>
      </c>
      <c r="Q17" s="76">
        <v>0</v>
      </c>
      <c r="R17" s="36">
        <f>C17</f>
        <v>0.35285483081787045</v>
      </c>
      <c r="S17" s="133">
        <v>0</v>
      </c>
      <c r="T17" s="36">
        <f>C17</f>
        <v>0.35285483081787045</v>
      </c>
      <c r="U17" s="76">
        <v>0</v>
      </c>
    </row>
    <row r="18" spans="1:22" s="148" customFormat="1" ht="23.25" customHeight="1" x14ac:dyDescent="0.2">
      <c r="A18" s="791">
        <v>7</v>
      </c>
      <c r="B18" s="560" t="s">
        <v>124</v>
      </c>
      <c r="C18" s="674">
        <v>0</v>
      </c>
      <c r="D18" s="676">
        <v>0</v>
      </c>
      <c r="E18" s="675">
        <f>C18</f>
        <v>0</v>
      </c>
      <c r="F18" s="674">
        <v>0</v>
      </c>
      <c r="G18" s="675">
        <v>0</v>
      </c>
      <c r="H18" s="674">
        <v>0</v>
      </c>
      <c r="I18" s="676">
        <v>0</v>
      </c>
      <c r="J18" s="675">
        <v>0</v>
      </c>
      <c r="K18" s="674">
        <v>0</v>
      </c>
      <c r="L18" s="675">
        <v>0</v>
      </c>
      <c r="M18" s="674">
        <v>0</v>
      </c>
      <c r="N18" s="676">
        <v>0</v>
      </c>
      <c r="O18" s="675">
        <f>M18</f>
        <v>0</v>
      </c>
      <c r="P18" s="674">
        <v>0</v>
      </c>
      <c r="Q18" s="675">
        <v>0</v>
      </c>
      <c r="R18" s="33">
        <f>'Разд 5-7'!G25</f>
        <v>1.1300000000000001</v>
      </c>
      <c r="S18" s="125">
        <f>'Разд 5-7'!G25</f>
        <v>1.1300000000000001</v>
      </c>
      <c r="T18" s="674">
        <v>0</v>
      </c>
      <c r="U18" s="675">
        <v>0</v>
      </c>
    </row>
    <row r="19" spans="1:22" s="148" customFormat="1" ht="25.5" customHeight="1" thickBot="1" x14ac:dyDescent="0.25">
      <c r="A19" s="792"/>
      <c r="B19" s="673" t="s">
        <v>267</v>
      </c>
      <c r="C19" s="87">
        <f>'Разд 5-7'!G26</f>
        <v>0.13115098100933795</v>
      </c>
      <c r="D19" s="27">
        <f>'Разд 5-7'!G36</f>
        <v>0.6025548324897565</v>
      </c>
      <c r="E19" s="28">
        <f>'Разд 5-7'!G26</f>
        <v>0.13115098100933795</v>
      </c>
      <c r="F19" s="26">
        <f>'Разд 5-7'!G27</f>
        <v>0.10054004366310466</v>
      </c>
      <c r="G19" s="28">
        <f>'Разд 5-7'!G27</f>
        <v>0.10054004366310466</v>
      </c>
      <c r="H19" s="26">
        <f>'Разд 5-7'!G28</f>
        <v>0.1492448212047042</v>
      </c>
      <c r="I19" s="27">
        <f>'Разд 5-7'!G37</f>
        <v>0.49485352335708632</v>
      </c>
      <c r="J19" s="28">
        <f>'Разд 5-7'!G28</f>
        <v>0.1492448212047042</v>
      </c>
      <c r="K19" s="26">
        <f>'Разд 5-7'!G29</f>
        <v>0.17180949762902895</v>
      </c>
      <c r="L19" s="28">
        <f>'Разд 5-7'!G38</f>
        <v>0.4925137903861308</v>
      </c>
      <c r="M19" s="26">
        <f>'Разд 5-7'!G30</f>
        <v>0.22657241254304875</v>
      </c>
      <c r="N19" s="27">
        <f>'Разд 5-7'!G39</f>
        <v>0.6880228974020256</v>
      </c>
      <c r="O19" s="28">
        <f>'Разд 5-7'!G30</f>
        <v>0.22657241254304875</v>
      </c>
      <c r="P19" s="26">
        <f>'Разд 5-7'!G31</f>
        <v>0.14644719114287388</v>
      </c>
      <c r="Q19" s="28">
        <f>'Разд 5-7'!G40</f>
        <v>0.49603174603174605</v>
      </c>
      <c r="R19" s="26">
        <f>'Разд 5-7'!G32</f>
        <v>0.16498383158450472</v>
      </c>
      <c r="S19" s="130">
        <f>'Разд 5-7'!G41</f>
        <v>0.49534376857539136</v>
      </c>
      <c r="T19" s="26">
        <f>'Разд 5-7'!G33</f>
        <v>0.25596920178564114</v>
      </c>
      <c r="U19" s="28">
        <f>'Разд 5-7'!G42</f>
        <v>0.69887062506988695</v>
      </c>
      <c r="V19" s="288"/>
    </row>
    <row r="20" spans="1:22" ht="21.75" thickBot="1" x14ac:dyDescent="0.25">
      <c r="A20" s="800">
        <v>8</v>
      </c>
      <c r="B20" s="562" t="s">
        <v>87</v>
      </c>
      <c r="C20" s="89">
        <f>'Разд 8'!G6</f>
        <v>0.50944021864732059</v>
      </c>
      <c r="D20" s="21">
        <f>'Разд 8'!G17</f>
        <v>3.6755844781875151</v>
      </c>
      <c r="E20" s="41">
        <v>0</v>
      </c>
      <c r="F20" s="20">
        <v>0</v>
      </c>
      <c r="G20" s="41">
        <v>0</v>
      </c>
      <c r="H20" s="20">
        <f>C20</f>
        <v>0.50944021864732059</v>
      </c>
      <c r="I20" s="21">
        <f>'Разд 8'!G22</f>
        <v>14.620447347585115</v>
      </c>
      <c r="J20" s="41">
        <v>0</v>
      </c>
      <c r="K20" s="20">
        <f>C20</f>
        <v>0.50944021864732059</v>
      </c>
      <c r="L20" s="41">
        <f>'Разд 8'!G27</f>
        <v>13.957676648279485</v>
      </c>
      <c r="M20" s="20">
        <f>C20</f>
        <v>0.50944021864732059</v>
      </c>
      <c r="N20" s="21">
        <f>'Разд 8'!G32</f>
        <v>10.350616468516071</v>
      </c>
      <c r="O20" s="41">
        <v>0</v>
      </c>
      <c r="P20" s="20">
        <f>C20</f>
        <v>0.50944021864732059</v>
      </c>
      <c r="Q20" s="41">
        <f>'Разд 8'!G37</f>
        <v>7.790656715760738</v>
      </c>
      <c r="R20" s="20">
        <f>C20</f>
        <v>0.50944021864732059</v>
      </c>
      <c r="S20" s="131">
        <f>'Разд 8'!G41</f>
        <v>7.5952711181560009</v>
      </c>
      <c r="T20" s="20">
        <f>C20</f>
        <v>0.50944021864732059</v>
      </c>
      <c r="U20" s="41">
        <f>'Разд 8'!G45</f>
        <v>9.9519177009951907</v>
      </c>
    </row>
    <row r="21" spans="1:22" ht="24" customHeight="1" thickBot="1" x14ac:dyDescent="0.25">
      <c r="A21" s="801"/>
      <c r="B21" s="561" t="s">
        <v>268</v>
      </c>
      <c r="C21" s="348">
        <f>'Разд 8'!G7</f>
        <v>0.22660143991139006</v>
      </c>
      <c r="D21" s="83">
        <v>0</v>
      </c>
      <c r="E21" s="81">
        <f>C21</f>
        <v>0.22660143991139006</v>
      </c>
      <c r="F21" s="674">
        <v>0</v>
      </c>
      <c r="G21" s="675">
        <v>0</v>
      </c>
      <c r="H21" s="20">
        <f>'Разд 8'!G8+'Разд 8'!G10</f>
        <v>0.33480598859968408</v>
      </c>
      <c r="I21" s="676">
        <v>0</v>
      </c>
      <c r="J21" s="675">
        <f>H21</f>
        <v>0.33480598859968408</v>
      </c>
      <c r="K21" s="20">
        <f>'Разд 8'!G11</f>
        <v>0.22496048381554531</v>
      </c>
      <c r="L21" s="675">
        <f>J21</f>
        <v>0.33480598859968408</v>
      </c>
      <c r="M21" s="20">
        <f>'Разд 8'!G9</f>
        <v>0.2</v>
      </c>
      <c r="N21" s="676">
        <v>0</v>
      </c>
      <c r="O21" s="675">
        <f>M21</f>
        <v>0.2</v>
      </c>
      <c r="P21" s="20">
        <f>'Разд 8'!G36</f>
        <v>0.18575391321577175</v>
      </c>
      <c r="Q21" s="675">
        <f>O21</f>
        <v>0.2</v>
      </c>
      <c r="R21" s="20">
        <v>0</v>
      </c>
      <c r="S21" s="675">
        <f>Q21</f>
        <v>0.2</v>
      </c>
      <c r="T21" s="674">
        <v>0</v>
      </c>
      <c r="U21" s="675">
        <f>S21</f>
        <v>0.2</v>
      </c>
    </row>
    <row r="22" spans="1:22" ht="16.5" thickBot="1" x14ac:dyDescent="0.25">
      <c r="A22" s="794" t="s">
        <v>95</v>
      </c>
      <c r="B22" s="795"/>
      <c r="C22" s="143">
        <f>SUM(C7:C21)</f>
        <v>27.468236794194002</v>
      </c>
      <c r="D22" s="143">
        <f t="shared" ref="D22:U22" si="4">SUM(D7:D21)</f>
        <v>30.331327404482444</v>
      </c>
      <c r="E22" s="143">
        <f t="shared" si="4"/>
        <v>21.671407937158509</v>
      </c>
      <c r="F22" s="143">
        <f t="shared" si="4"/>
        <v>22.625305367818889</v>
      </c>
      <c r="G22" s="143">
        <f t="shared" si="4"/>
        <v>22.044920221560318</v>
      </c>
      <c r="H22" s="143">
        <f t="shared" si="4"/>
        <v>27.59453518307766</v>
      </c>
      <c r="I22" s="143">
        <f t="shared" si="4"/>
        <v>41.168488964747375</v>
      </c>
      <c r="J22" s="143">
        <f t="shared" si="4"/>
        <v>21.797706326042167</v>
      </c>
      <c r="K22" s="143">
        <f t="shared" si="4"/>
        <v>27.507254354717848</v>
      </c>
      <c r="L22" s="143">
        <f t="shared" si="4"/>
        <v>40.838184521070474</v>
      </c>
      <c r="M22" s="143">
        <f t="shared" si="4"/>
        <v>27.537056785816322</v>
      </c>
      <c r="N22" s="143">
        <f t="shared" si="4"/>
        <v>37.09182745972327</v>
      </c>
      <c r="O22" s="143">
        <f t="shared" si="4"/>
        <v>21.740227928780829</v>
      </c>
      <c r="P22" s="143">
        <f t="shared" si="4"/>
        <v>27.442685477631919</v>
      </c>
      <c r="Q22" s="143">
        <f t="shared" si="4"/>
        <v>34.539876555597658</v>
      </c>
      <c r="R22" s="143">
        <f t="shared" si="4"/>
        <v>28.405468204857776</v>
      </c>
      <c r="S22" s="143">
        <f t="shared" si="4"/>
        <v>35.473802980536568</v>
      </c>
      <c r="T22" s="143">
        <f t="shared" si="4"/>
        <v>27.366453575058916</v>
      </c>
      <c r="U22" s="143">
        <f t="shared" si="4"/>
        <v>36.903976419870254</v>
      </c>
    </row>
    <row r="23" spans="1:22" ht="15.75" x14ac:dyDescent="0.2">
      <c r="A23" s="146"/>
      <c r="B23" s="146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</row>
    <row r="24" spans="1:22" ht="15.75" thickBot="1" x14ac:dyDescent="0.25">
      <c r="A24" s="137"/>
      <c r="B24" s="137" t="s">
        <v>97</v>
      </c>
      <c r="C24" s="138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</row>
    <row r="25" spans="1:22" ht="15.75" x14ac:dyDescent="0.25">
      <c r="A25" s="796" t="s">
        <v>208</v>
      </c>
      <c r="B25" s="797"/>
      <c r="C25" s="142">
        <v>25.79</v>
      </c>
      <c r="D25" s="142">
        <v>27.96</v>
      </c>
      <c r="E25" s="142">
        <v>20.350000000000001</v>
      </c>
      <c r="F25" s="142">
        <v>21.1</v>
      </c>
      <c r="G25" s="142">
        <v>20.56</v>
      </c>
      <c r="H25" s="140">
        <v>26.53</v>
      </c>
      <c r="I25" s="140">
        <v>53.72</v>
      </c>
      <c r="J25" s="140">
        <v>21.09</v>
      </c>
      <c r="K25" s="140">
        <v>26.31</v>
      </c>
      <c r="L25" s="140">
        <v>53.58</v>
      </c>
      <c r="M25" s="140">
        <v>26.31</v>
      </c>
      <c r="N25" s="140">
        <v>62.05</v>
      </c>
      <c r="O25" s="140">
        <v>20.88</v>
      </c>
      <c r="P25" s="140">
        <v>27.49</v>
      </c>
      <c r="Q25" s="140">
        <v>31.89</v>
      </c>
      <c r="R25" s="140">
        <v>26.79</v>
      </c>
      <c r="S25" s="140">
        <v>33.15</v>
      </c>
      <c r="T25" s="140">
        <v>25.79</v>
      </c>
      <c r="U25" s="141">
        <v>34.229999999999997</v>
      </c>
    </row>
    <row r="26" spans="1:22" ht="16.5" thickBot="1" x14ac:dyDescent="0.3">
      <c r="A26" s="784" t="s">
        <v>91</v>
      </c>
      <c r="B26" s="785"/>
      <c r="C26" s="144">
        <f t="shared" ref="C26:U26" si="5">C22-C25</f>
        <v>1.6782367941940031</v>
      </c>
      <c r="D26" s="144">
        <f t="shared" si="5"/>
        <v>2.3713274044824431</v>
      </c>
      <c r="E26" s="144">
        <f t="shared" si="5"/>
        <v>1.3214079371585079</v>
      </c>
      <c r="F26" s="144">
        <f t="shared" si="5"/>
        <v>1.5253053678188877</v>
      </c>
      <c r="G26" s="144">
        <f t="shared" si="5"/>
        <v>1.4849202215603192</v>
      </c>
      <c r="H26" s="144">
        <f t="shared" si="5"/>
        <v>1.064535183077659</v>
      </c>
      <c r="I26" s="144">
        <f t="shared" si="5"/>
        <v>-12.551511035252624</v>
      </c>
      <c r="J26" s="144">
        <f t="shared" si="5"/>
        <v>0.70770632604216743</v>
      </c>
      <c r="K26" s="144">
        <f t="shared" si="5"/>
        <v>1.1972543547178489</v>
      </c>
      <c r="L26" s="144">
        <f t="shared" si="5"/>
        <v>-12.741815478929524</v>
      </c>
      <c r="M26" s="144">
        <f t="shared" si="5"/>
        <v>1.2270567858163233</v>
      </c>
      <c r="N26" s="144">
        <f t="shared" si="5"/>
        <v>-24.958172540276728</v>
      </c>
      <c r="O26" s="144">
        <f t="shared" si="5"/>
        <v>0.8602279287808301</v>
      </c>
      <c r="P26" s="144">
        <f t="shared" si="5"/>
        <v>-4.7314522368079537E-2</v>
      </c>
      <c r="Q26" s="144">
        <f t="shared" si="5"/>
        <v>2.6498765555976576</v>
      </c>
      <c r="R26" s="144">
        <f t="shared" si="5"/>
        <v>1.6154682048577769</v>
      </c>
      <c r="S26" s="144">
        <f t="shared" si="5"/>
        <v>2.3238029805365699</v>
      </c>
      <c r="T26" s="144">
        <f t="shared" si="5"/>
        <v>1.5764535750589168</v>
      </c>
      <c r="U26" s="145">
        <f t="shared" si="5"/>
        <v>2.6739764198702574</v>
      </c>
    </row>
    <row r="27" spans="1:22" ht="15.75" x14ac:dyDescent="0.25">
      <c r="A27" s="135"/>
      <c r="B27" s="135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</row>
    <row r="28" spans="1:22" x14ac:dyDescent="0.2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</sheetData>
  <mergeCells count="15">
    <mergeCell ref="A26:B26"/>
    <mergeCell ref="R5:S5"/>
    <mergeCell ref="T5:U5"/>
    <mergeCell ref="A7:A8"/>
    <mergeCell ref="A9:A13"/>
    <mergeCell ref="A22:B22"/>
    <mergeCell ref="A25:B25"/>
    <mergeCell ref="C5:E5"/>
    <mergeCell ref="F5:G5"/>
    <mergeCell ref="H5:J5"/>
    <mergeCell ref="K5:L5"/>
    <mergeCell ref="M5:O5"/>
    <mergeCell ref="P5:Q5"/>
    <mergeCell ref="A18:A19"/>
    <mergeCell ref="A20:A21"/>
  </mergeCells>
  <pageMargins left="0.34" right="0.31496062992125984" top="0.5" bottom="0" header="0.48" footer="0"/>
  <pageSetup paperSize="9" scale="7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C1:M26"/>
  <sheetViews>
    <sheetView zoomScaleSheetLayoutView="100" workbookViewId="0">
      <selection activeCell="M23" sqref="M23"/>
    </sheetView>
  </sheetViews>
  <sheetFormatPr defaultRowHeight="12.75" x14ac:dyDescent="0.2"/>
  <cols>
    <col min="1" max="2" width="3.140625" customWidth="1"/>
    <col min="4" max="4" width="18.28515625" customWidth="1"/>
    <col min="5" max="5" width="13.85546875" customWidth="1"/>
    <col min="6" max="6" width="14.42578125" customWidth="1"/>
    <col min="7" max="7" width="15.28515625" customWidth="1"/>
    <col min="8" max="8" width="11.7109375" customWidth="1"/>
  </cols>
  <sheetData>
    <row r="1" spans="3:13" ht="15" x14ac:dyDescent="0.25">
      <c r="C1" s="64" t="s">
        <v>189</v>
      </c>
      <c r="H1" s="68" t="s">
        <v>119</v>
      </c>
      <c r="I1" s="70"/>
      <c r="J1" s="70"/>
      <c r="K1" s="70"/>
      <c r="L1" s="70"/>
      <c r="M1" s="65"/>
    </row>
    <row r="2" spans="3:13" ht="15" x14ac:dyDescent="0.25">
      <c r="C2" s="64" t="s">
        <v>165</v>
      </c>
      <c r="D2" s="5"/>
      <c r="E2" s="64"/>
      <c r="F2" s="5"/>
      <c r="H2" s="68"/>
      <c r="I2" s="70"/>
      <c r="J2" s="70"/>
      <c r="K2" s="70"/>
      <c r="L2" s="70"/>
      <c r="M2" s="65"/>
    </row>
    <row r="3" spans="3:13" ht="14.25" x14ac:dyDescent="0.2">
      <c r="D3" s="6"/>
      <c r="E3" s="6"/>
      <c r="F3" s="6"/>
      <c r="H3" s="97"/>
      <c r="I3" s="71"/>
      <c r="J3" s="71"/>
      <c r="K3" s="71"/>
      <c r="L3" s="71"/>
    </row>
    <row r="4" spans="3:13" ht="14.25" x14ac:dyDescent="0.2">
      <c r="D4" s="6"/>
      <c r="E4" s="6"/>
      <c r="F4" s="6"/>
      <c r="G4" s="67"/>
      <c r="H4" s="67"/>
      <c r="I4" s="67"/>
      <c r="J4" s="67"/>
      <c r="K4" s="67"/>
      <c r="L4" s="67"/>
    </row>
    <row r="5" spans="3:13" ht="14.25" x14ac:dyDescent="0.2">
      <c r="D5" s="6"/>
      <c r="E5" s="6"/>
      <c r="F5" s="6"/>
      <c r="G5" s="67"/>
      <c r="H5" s="67"/>
      <c r="I5" s="67"/>
      <c r="J5" s="67"/>
      <c r="K5" s="67"/>
      <c r="L5" s="67"/>
    </row>
    <row r="6" spans="3:13" ht="14.25" x14ac:dyDescent="0.2">
      <c r="D6" s="6"/>
      <c r="E6" s="6"/>
      <c r="F6" s="6"/>
      <c r="G6" s="67"/>
      <c r="H6" s="67"/>
      <c r="I6" s="67"/>
      <c r="J6" s="67"/>
      <c r="K6" s="67"/>
      <c r="L6" s="67"/>
    </row>
    <row r="7" spans="3:13" x14ac:dyDescent="0.2">
      <c r="D7" s="6"/>
      <c r="E7" s="6"/>
      <c r="F7" s="6"/>
      <c r="G7" s="6"/>
    </row>
    <row r="8" spans="3:13" ht="15" x14ac:dyDescent="0.25">
      <c r="D8" s="116" t="s">
        <v>71</v>
      </c>
    </row>
    <row r="9" spans="3:13" ht="13.5" thickBot="1" x14ac:dyDescent="0.25"/>
    <row r="10" spans="3:13" ht="89.25" customHeight="1" thickBot="1" x14ac:dyDescent="0.25">
      <c r="C10" s="55" t="s">
        <v>36</v>
      </c>
      <c r="D10" s="60" t="s">
        <v>63</v>
      </c>
      <c r="E10" s="61" t="s">
        <v>46</v>
      </c>
      <c r="F10" s="61" t="s">
        <v>271</v>
      </c>
      <c r="G10" s="62" t="s">
        <v>37</v>
      </c>
      <c r="H10" s="57" t="s">
        <v>30</v>
      </c>
      <c r="I10" s="160"/>
    </row>
    <row r="11" spans="3:13" x14ac:dyDescent="0.2">
      <c r="C11" s="99">
        <v>1</v>
      </c>
      <c r="D11" s="170">
        <v>2166.8000000000002</v>
      </c>
      <c r="E11" s="104">
        <v>254.5</v>
      </c>
      <c r="F11" s="104">
        <v>120.3</v>
      </c>
      <c r="G11" s="109">
        <v>553.20000000000005</v>
      </c>
      <c r="H11" s="114">
        <f>SUM(D11:G11)</f>
        <v>3094.8</v>
      </c>
      <c r="I11" s="159"/>
      <c r="J11" s="164"/>
    </row>
    <row r="12" spans="3:13" x14ac:dyDescent="0.2">
      <c r="C12" s="100">
        <v>2</v>
      </c>
      <c r="D12" s="171">
        <v>2618.3000000000002</v>
      </c>
      <c r="E12" s="105">
        <v>282.89999999999998</v>
      </c>
      <c r="F12" s="108">
        <v>0</v>
      </c>
      <c r="G12" s="113">
        <v>0</v>
      </c>
      <c r="H12" s="677">
        <f>SUM(D12:G12)</f>
        <v>2901.2000000000003</v>
      </c>
      <c r="I12" s="159"/>
    </row>
    <row r="13" spans="3:13" x14ac:dyDescent="0.2">
      <c r="C13" s="100">
        <v>3</v>
      </c>
      <c r="D13" s="171">
        <v>1456.1</v>
      </c>
      <c r="E13" s="29">
        <v>0</v>
      </c>
      <c r="F13" s="105">
        <f>153.3+65.7</f>
        <v>219</v>
      </c>
      <c r="G13" s="110">
        <v>505.2</v>
      </c>
      <c r="H13" s="115">
        <f>SUM(D13:G13)</f>
        <v>2180.2999999999997</v>
      </c>
      <c r="I13" s="159"/>
    </row>
    <row r="14" spans="3:13" x14ac:dyDescent="0.2">
      <c r="C14" s="679" t="s">
        <v>269</v>
      </c>
      <c r="D14" s="102">
        <v>1455.1</v>
      </c>
      <c r="E14" s="29">
        <v>0</v>
      </c>
      <c r="F14" s="108">
        <v>0</v>
      </c>
      <c r="G14" s="110">
        <v>507.6</v>
      </c>
      <c r="H14" s="115">
        <f>SUM(D14:G14)</f>
        <v>1962.6999999999998</v>
      </c>
    </row>
    <row r="15" spans="3:13" x14ac:dyDescent="0.2">
      <c r="C15" s="679" t="s">
        <v>270</v>
      </c>
      <c r="D15" s="102">
        <v>837.8</v>
      </c>
      <c r="E15" s="29">
        <v>0</v>
      </c>
      <c r="F15" s="105">
        <v>81.7</v>
      </c>
      <c r="G15" s="110">
        <v>302.8</v>
      </c>
      <c r="H15" s="115">
        <f t="shared" ref="H15:H18" si="0">SUM(D15:G15)</f>
        <v>1222.3</v>
      </c>
    </row>
    <row r="16" spans="3:13" x14ac:dyDescent="0.2">
      <c r="C16" s="100">
        <v>46</v>
      </c>
      <c r="D16" s="102">
        <v>1707.1</v>
      </c>
      <c r="E16" s="29">
        <v>0</v>
      </c>
      <c r="F16" s="108">
        <v>0</v>
      </c>
      <c r="G16" s="110">
        <v>504</v>
      </c>
      <c r="H16" s="115">
        <f t="shared" si="0"/>
        <v>2211.1</v>
      </c>
    </row>
    <row r="17" spans="3:11" x14ac:dyDescent="0.2">
      <c r="C17" s="100">
        <v>47</v>
      </c>
      <c r="D17" s="102">
        <v>1515.3</v>
      </c>
      <c r="E17" s="29">
        <v>0</v>
      </c>
      <c r="F17" s="108">
        <v>0</v>
      </c>
      <c r="G17" s="110">
        <v>504.7</v>
      </c>
      <c r="H17" s="115">
        <f t="shared" si="0"/>
        <v>2020</v>
      </c>
      <c r="K17" s="63"/>
    </row>
    <row r="18" spans="3:11" ht="13.5" thickBot="1" x14ac:dyDescent="0.25">
      <c r="C18" s="101">
        <v>48</v>
      </c>
      <c r="D18" s="103">
        <f>720.4+95.7-2.2</f>
        <v>813.9</v>
      </c>
      <c r="E18" s="30">
        <v>0</v>
      </c>
      <c r="F18" s="106">
        <v>0</v>
      </c>
      <c r="G18" s="111">
        <v>298.10000000000002</v>
      </c>
      <c r="H18" s="678">
        <f t="shared" si="0"/>
        <v>1112</v>
      </c>
    </row>
    <row r="19" spans="3:11" ht="13.5" thickBot="1" x14ac:dyDescent="0.25">
      <c r="C19" s="56" t="s">
        <v>4</v>
      </c>
      <c r="D19" s="58">
        <f>SUM(D11:D18)</f>
        <v>12570.4</v>
      </c>
      <c r="E19" s="59">
        <f>SUM(E11:E18)</f>
        <v>537.4</v>
      </c>
      <c r="F19" s="107">
        <f>SUM(F11:F18)</f>
        <v>421</v>
      </c>
      <c r="G19" s="112">
        <f>SUM(G11:G18)</f>
        <v>3175.6</v>
      </c>
      <c r="H19" s="680">
        <f>SUM(H11:H18)</f>
        <v>16704.400000000001</v>
      </c>
    </row>
    <row r="21" spans="3:11" x14ac:dyDescent="0.2">
      <c r="D21" s="63"/>
      <c r="H21" s="63"/>
    </row>
    <row r="23" spans="3:11" x14ac:dyDescent="0.2">
      <c r="F23" s="63"/>
      <c r="G23" s="63"/>
    </row>
    <row r="26" spans="3:11" x14ac:dyDescent="0.2">
      <c r="F26" s="40"/>
    </row>
  </sheetData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ФОТ </vt:lpstr>
      <vt:lpstr>Разд 3-4</vt:lpstr>
      <vt:lpstr>Разд 5-7</vt:lpstr>
      <vt:lpstr>Разд 8</vt:lpstr>
      <vt:lpstr>Тарифы на отд.виды услуг</vt:lpstr>
      <vt:lpstr>Сводная по тарифам на </vt:lpstr>
      <vt:lpstr>Площади помещений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2019-11-25T04:18:17Z</cp:lastPrinted>
  <dcterms:created xsi:type="dcterms:W3CDTF">1996-10-08T23:32:33Z</dcterms:created>
  <dcterms:modified xsi:type="dcterms:W3CDTF">2019-11-25T07:27:17Z</dcterms:modified>
</cp:coreProperties>
</file>